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normagroup.sharepoint.com/teams/DESIGNWORX/Shared Documents/Storage_Infiltration-STORMCHAMBERS/Tools &amp; Calculators/"/>
    </mc:Choice>
  </mc:AlternateContent>
  <xr:revisionPtr revIDLastSave="518" documentId="8_{1E6907E3-FDEE-4468-AF97-0ADC48726B66}" xr6:coauthVersionLast="47" xr6:coauthVersionMax="47" xr10:uidLastSave="{A0C94941-2D56-48C0-A116-B6D35321FD8A}"/>
  <workbookProtection workbookAlgorithmName="SHA-512" workbookHashValue="nyR2Li/YR/ZHeqVpqOBkpixdFn/D4S5D6l/o+6W3mm1WA49xGm0ArZiaVIPqMIB2Q/d5FXHTnqzKCgpU8TjrDQ==" workbookSaltValue="gCh+6/G+r2fZQbWOx/mxCQ==" workbookSpinCount="100000" lockStructure="1"/>
  <bookViews>
    <workbookView minimized="1" xWindow="4200" yWindow="975" windowWidth="16950" windowHeight="14850" xr2:uid="{1C00298F-CE92-4A64-B125-30E14AE43567}"/>
  </bookViews>
  <sheets>
    <sheet name="StormChamber System Calculator" sheetId="1" r:id="rId1"/>
    <sheet name="Sheet1" sheetId="3" state="hidden" r:id="rId2"/>
    <sheet name="Hidden list" sheetId="2" state="hidden" r:id="rId3"/>
  </sheets>
  <definedNames>
    <definedName name="AllChambers">'Hidden list'!$A$4:$A$6</definedName>
    <definedName name="AllSC">'Hidden list'!$A$4:$A$6</definedName>
    <definedName name="Chambers">'Hidden list'!$A$4:$A$5</definedName>
    <definedName name="Constraint">'Hidden list'!$A$15:$A$16</definedName>
    <definedName name="NY">'Hidden list'!$A$12:$A$13</definedName>
    <definedName name="_xlnm.Print_Area" localSheetId="0">'StormChamber System Calculator'!$A$1:$BS$105</definedName>
    <definedName name="SCalt">'Hidden list'!$B$4:$B$6</definedName>
    <definedName name="UnitSystem">'Hidden list'!$A$1:$A$2</definedName>
    <definedName name="YN">'Hidden list'!$A$9:$A$10</definedName>
  </definedNames>
  <calcPr calcId="191028"/>
  <customWorkbookViews>
    <customWorkbookView name="Maria Lehner - Personal View" guid="{E7B63CCF-7FBC-401C-9C4B-EF755A7DC399}" mergeInterval="0" personalView="1" maximized="1" xWindow="1" yWindow="1" windowWidth="1440" windowHeight="670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A154" i="1" l="1"/>
  <c r="CA153" i="1"/>
  <c r="CA152" i="1"/>
  <c r="BY153" i="1"/>
  <c r="BZ199" i="1"/>
  <c r="BY199" i="1"/>
  <c r="BY162" i="1"/>
  <c r="BZ197" i="1"/>
  <c r="BZ198" i="1"/>
  <c r="BZ196" i="1"/>
  <c r="BY198" i="1"/>
  <c r="BY197" i="1"/>
  <c r="BY196" i="1"/>
  <c r="BY152" i="1"/>
  <c r="BY154" i="1"/>
  <c r="BY160" i="1"/>
  <c r="BY161" i="1"/>
  <c r="CC7" i="1" l="1"/>
  <c r="BY7" i="1"/>
  <c r="CC5" i="1"/>
  <c r="BY5" i="1"/>
  <c r="D5" i="3"/>
  <c r="D7" i="3"/>
  <c r="AC196" i="3"/>
  <c r="S195" i="3"/>
  <c r="S194" i="3"/>
  <c r="S192" i="3"/>
  <c r="S191" i="3"/>
  <c r="S190" i="3"/>
  <c r="W197" i="3" s="1"/>
  <c r="V189" i="3"/>
  <c r="W189" i="3" s="1"/>
  <c r="U189" i="3"/>
  <c r="S189" i="3"/>
  <c r="P186" i="3"/>
  <c r="P182" i="3"/>
  <c r="R182" i="3" s="1"/>
  <c r="P178" i="3"/>
  <c r="S178" i="3" s="1"/>
  <c r="W176" i="3"/>
  <c r="U176" i="3"/>
  <c r="V176" i="3" s="1"/>
  <c r="V174" i="3"/>
  <c r="U174" i="3"/>
  <c r="P174" i="3"/>
  <c r="O170" i="3"/>
  <c r="AC156" i="3"/>
  <c r="S155" i="3"/>
  <c r="S154" i="3"/>
  <c r="S152" i="3"/>
  <c r="S151" i="3"/>
  <c r="S150" i="3"/>
  <c r="V149" i="3" s="1"/>
  <c r="W154" i="3" s="1"/>
  <c r="O150" i="3"/>
  <c r="S149" i="3"/>
  <c r="P146" i="3"/>
  <c r="P142" i="3"/>
  <c r="R142" i="3" s="1"/>
  <c r="D140" i="3"/>
  <c r="C140" i="3"/>
  <c r="P138" i="3"/>
  <c r="S138" i="3" s="1"/>
  <c r="W136" i="3"/>
  <c r="U136" i="3"/>
  <c r="D136" i="3"/>
  <c r="C136" i="3"/>
  <c r="V134" i="3"/>
  <c r="U134" i="3"/>
  <c r="P134" i="3"/>
  <c r="Q134" i="3" s="1"/>
  <c r="D133" i="3"/>
  <c r="C133" i="3"/>
  <c r="C137" i="3" s="1"/>
  <c r="C141" i="3" s="1"/>
  <c r="B132" i="3"/>
  <c r="C131" i="3"/>
  <c r="O130" i="3"/>
  <c r="E130" i="3"/>
  <c r="C129" i="3"/>
  <c r="C127" i="3"/>
  <c r="C125" i="3"/>
  <c r="C124" i="3"/>
  <c r="C120" i="3"/>
  <c r="C119" i="3"/>
  <c r="X116" i="3"/>
  <c r="S94" i="3" s="1"/>
  <c r="X114" i="3"/>
  <c r="L112" i="3"/>
  <c r="K112" i="3"/>
  <c r="J112" i="3"/>
  <c r="B112" i="3"/>
  <c r="V110" i="3"/>
  <c r="U110" i="3"/>
  <c r="G110" i="3"/>
  <c r="F110" i="3"/>
  <c r="E110" i="3"/>
  <c r="D110" i="3"/>
  <c r="C110" i="3"/>
  <c r="G107" i="3"/>
  <c r="F107" i="3"/>
  <c r="E107" i="3"/>
  <c r="D107" i="3"/>
  <c r="C107" i="3"/>
  <c r="W105" i="3"/>
  <c r="U105" i="3"/>
  <c r="L105" i="3"/>
  <c r="K105" i="3"/>
  <c r="J105" i="3"/>
  <c r="I105" i="3"/>
  <c r="G105" i="3"/>
  <c r="F105" i="3"/>
  <c r="E105" i="3"/>
  <c r="D105" i="3"/>
  <c r="B104" i="3"/>
  <c r="E103" i="3"/>
  <c r="D103" i="3"/>
  <c r="B103" i="3"/>
  <c r="AC102" i="3"/>
  <c r="I102" i="3"/>
  <c r="D102" i="3"/>
  <c r="B102" i="3"/>
  <c r="J100" i="3"/>
  <c r="I100" i="3"/>
  <c r="E100" i="3"/>
  <c r="D100" i="3"/>
  <c r="B100" i="3"/>
  <c r="S99" i="3"/>
  <c r="S98" i="3"/>
  <c r="A98" i="3"/>
  <c r="A96" i="3"/>
  <c r="L94" i="3"/>
  <c r="K94" i="3"/>
  <c r="J94" i="3"/>
  <c r="I94" i="3"/>
  <c r="G94" i="3"/>
  <c r="F94" i="3"/>
  <c r="E94" i="3"/>
  <c r="D94" i="3"/>
  <c r="AC93" i="3"/>
  <c r="B93" i="3"/>
  <c r="S92" i="3"/>
  <c r="V94" i="3" s="1"/>
  <c r="X105" i="3" s="1"/>
  <c r="O92" i="3"/>
  <c r="E92" i="3"/>
  <c r="D92" i="3"/>
  <c r="B92" i="3"/>
  <c r="V91" i="3"/>
  <c r="S91" i="3"/>
  <c r="I91" i="3"/>
  <c r="D91" i="3"/>
  <c r="B91" i="3"/>
  <c r="J89" i="3"/>
  <c r="I89" i="3"/>
  <c r="E89" i="3"/>
  <c r="D89" i="3"/>
  <c r="B89" i="3"/>
  <c r="V88" i="3"/>
  <c r="A87" i="3"/>
  <c r="X85" i="3"/>
  <c r="U85" i="3"/>
  <c r="P85" i="3"/>
  <c r="R85" i="3" s="1"/>
  <c r="A85" i="3"/>
  <c r="L83" i="3"/>
  <c r="K83" i="3"/>
  <c r="J83" i="3"/>
  <c r="I83" i="3"/>
  <c r="G83" i="3"/>
  <c r="F83" i="3"/>
  <c r="E83" i="3"/>
  <c r="D83" i="3"/>
  <c r="P82" i="3"/>
  <c r="W81" i="3"/>
  <c r="B81" i="3"/>
  <c r="AE80" i="3"/>
  <c r="Z79" i="3"/>
  <c r="W79" i="3"/>
  <c r="V79" i="3"/>
  <c r="U79" i="3"/>
  <c r="E79" i="3"/>
  <c r="D79" i="3"/>
  <c r="B79" i="3"/>
  <c r="I77" i="3"/>
  <c r="D77" i="3"/>
  <c r="B77" i="3"/>
  <c r="O75" i="3"/>
  <c r="J75" i="3"/>
  <c r="I75" i="3"/>
  <c r="E75" i="3"/>
  <c r="D75" i="3"/>
  <c r="B75" i="3"/>
  <c r="A73" i="3"/>
  <c r="A71" i="3"/>
  <c r="L69" i="3"/>
  <c r="K69" i="3"/>
  <c r="G69" i="3"/>
  <c r="F69" i="3"/>
  <c r="B67" i="3"/>
  <c r="B65" i="3"/>
  <c r="I63" i="3"/>
  <c r="D63" i="3"/>
  <c r="B63" i="3"/>
  <c r="B61" i="3"/>
  <c r="A57" i="3"/>
  <c r="C55" i="3"/>
  <c r="A55" i="3"/>
  <c r="L51" i="3"/>
  <c r="L47" i="3"/>
  <c r="K47" i="3"/>
  <c r="H47" i="3"/>
  <c r="D47" i="3"/>
  <c r="S45" i="3"/>
  <c r="D45" i="3"/>
  <c r="H45" i="3" s="1"/>
  <c r="S43" i="3"/>
  <c r="AC40" i="3"/>
  <c r="AE46" i="3" s="1"/>
  <c r="U40" i="3"/>
  <c r="L37" i="3"/>
  <c r="S33" i="3"/>
  <c r="V28" i="3" s="1"/>
  <c r="O33" i="3"/>
  <c r="L33" i="3"/>
  <c r="K33" i="3"/>
  <c r="H33" i="3"/>
  <c r="D33" i="3"/>
  <c r="D31" i="3"/>
  <c r="H31" i="3" s="1"/>
  <c r="U28" i="3"/>
  <c r="V24" i="3"/>
  <c r="L23" i="3"/>
  <c r="K21" i="3"/>
  <c r="H21" i="3"/>
  <c r="D21" i="3"/>
  <c r="L19" i="3"/>
  <c r="D19" i="3"/>
  <c r="H19" i="3" s="1"/>
  <c r="C104" i="3" s="1"/>
  <c r="W12" i="3"/>
  <c r="L11" i="3"/>
  <c r="K11" i="3"/>
  <c r="H11" i="3"/>
  <c r="D11" i="3"/>
  <c r="O9" i="3"/>
  <c r="AC8" i="3"/>
  <c r="V8" i="3"/>
  <c r="U8" i="3"/>
  <c r="L7" i="3"/>
  <c r="H5" i="3"/>
  <c r="J3" i="3"/>
  <c r="AB2" i="3"/>
  <c r="AA2" i="3"/>
  <c r="X2" i="3"/>
  <c r="AE96" i="3" s="1"/>
  <c r="F55" i="1"/>
  <c r="H55" i="1"/>
  <c r="B75" i="1"/>
  <c r="B31" i="1"/>
  <c r="C45" i="1"/>
  <c r="C39" i="1"/>
  <c r="C29" i="1"/>
  <c r="B27" i="1"/>
  <c r="M12" i="1"/>
  <c r="AF25" i="1"/>
  <c r="AE34" i="1"/>
  <c r="Y37" i="1"/>
  <c r="AA91" i="1"/>
  <c r="V92" i="1"/>
  <c r="V91" i="1"/>
  <c r="V90" i="1"/>
  <c r="V89" i="1"/>
  <c r="V88" i="1"/>
  <c r="M85" i="1"/>
  <c r="V83" i="1"/>
  <c r="V82" i="1"/>
  <c r="AI25" i="1" s="1"/>
  <c r="V81" i="1"/>
  <c r="V79" i="1"/>
  <c r="V77" i="1"/>
  <c r="AH75" i="1"/>
  <c r="AE71" i="1"/>
  <c r="X70" i="1"/>
  <c r="W70" i="1"/>
  <c r="Q61" i="1"/>
  <c r="P61" i="1"/>
  <c r="AI57" i="1"/>
  <c r="P33" i="1"/>
  <c r="P29" i="1"/>
  <c r="P25" i="1"/>
  <c r="AN29" i="1"/>
  <c r="AO59" i="1"/>
  <c r="AO71" i="1"/>
  <c r="BX131" i="1"/>
  <c r="L55" i="3" l="1"/>
  <c r="Q85" i="3"/>
  <c r="S85" i="3" s="1"/>
  <c r="X94" i="3"/>
  <c r="V105" i="3" s="1"/>
  <c r="D137" i="3"/>
  <c r="D141" i="3" s="1"/>
  <c r="H67" i="3"/>
  <c r="H77" i="3"/>
  <c r="J77" i="3" s="1"/>
  <c r="Y94" i="3"/>
  <c r="C61" i="3"/>
  <c r="E61" i="3" s="1"/>
  <c r="E133" i="3"/>
  <c r="W149" i="3"/>
  <c r="H75" i="3"/>
  <c r="C102" i="3"/>
  <c r="E102" i="3" s="1"/>
  <c r="H63" i="3"/>
  <c r="J63" i="3" s="1"/>
  <c r="D104" i="3"/>
  <c r="F104" i="3" s="1"/>
  <c r="K45" i="3" s="1"/>
  <c r="K49" i="3" s="1"/>
  <c r="X57" i="3"/>
  <c r="X28" i="3"/>
  <c r="AA28" i="3" s="1"/>
  <c r="U46" i="3"/>
  <c r="AE42" i="3" s="1"/>
  <c r="W40" i="3"/>
  <c r="W54" i="3"/>
  <c r="U54" i="3"/>
  <c r="X54" i="3" s="1"/>
  <c r="V46" i="3"/>
  <c r="L27" i="3"/>
  <c r="S39" i="3"/>
  <c r="D35" i="3"/>
  <c r="AB136" i="3" s="1"/>
  <c r="X154" i="3" s="1"/>
  <c r="Z154" i="3" s="1"/>
  <c r="AC46" i="3"/>
  <c r="H92" i="3"/>
  <c r="J92" i="3" s="1"/>
  <c r="Q182" i="3"/>
  <c r="S182" i="3" s="1"/>
  <c r="S17" i="3"/>
  <c r="L41" i="3"/>
  <c r="E140" i="3"/>
  <c r="E136" i="3"/>
  <c r="H7" i="3"/>
  <c r="H35" i="3" s="1"/>
  <c r="D23" i="3"/>
  <c r="S198" i="3"/>
  <c r="R174" i="3"/>
  <c r="S158" i="3"/>
  <c r="H104" i="3"/>
  <c r="R186" i="3" s="1"/>
  <c r="C93" i="3"/>
  <c r="H91" i="3"/>
  <c r="J91" i="3" s="1"/>
  <c r="H81" i="3"/>
  <c r="R82" i="3" s="1"/>
  <c r="C79" i="3"/>
  <c r="C75" i="3"/>
  <c r="C67" i="3"/>
  <c r="A59" i="3"/>
  <c r="H103" i="3"/>
  <c r="C92" i="3"/>
  <c r="C65" i="3"/>
  <c r="H61" i="3"/>
  <c r="C100" i="3"/>
  <c r="C63" i="3"/>
  <c r="E63" i="3" s="1"/>
  <c r="H102" i="3"/>
  <c r="J102" i="3" s="1"/>
  <c r="H93" i="3"/>
  <c r="R146" i="3" s="1"/>
  <c r="C91" i="3"/>
  <c r="E91" i="3" s="1"/>
  <c r="H89" i="3"/>
  <c r="D49" i="3"/>
  <c r="AB176" i="3" s="1"/>
  <c r="C77" i="3"/>
  <c r="E77" i="3" s="1"/>
  <c r="H79" i="3"/>
  <c r="L15" i="3"/>
  <c r="Y28" i="3"/>
  <c r="X40" i="3"/>
  <c r="C81" i="3"/>
  <c r="D81" i="3" s="1"/>
  <c r="AC106" i="3"/>
  <c r="X149" i="3"/>
  <c r="AA149" i="3" s="1"/>
  <c r="W100" i="3"/>
  <c r="U149" i="3"/>
  <c r="V136" i="3"/>
  <c r="W28" i="3"/>
  <c r="H65" i="3"/>
  <c r="S82" i="3"/>
  <c r="C89" i="3"/>
  <c r="W94" i="3"/>
  <c r="C103" i="3"/>
  <c r="C116" i="3"/>
  <c r="Y149" i="3"/>
  <c r="W194" i="3"/>
  <c r="Y189" i="3"/>
  <c r="W46" i="3"/>
  <c r="H100" i="3"/>
  <c r="Q142" i="3"/>
  <c r="S142" i="3" s="1"/>
  <c r="Q174" i="3"/>
  <c r="P187" i="3"/>
  <c r="X189" i="3"/>
  <c r="AA189" i="3" s="1"/>
  <c r="X79" i="3"/>
  <c r="V85" i="3"/>
  <c r="U88" i="3"/>
  <c r="AE93" i="3"/>
  <c r="AB79" i="3"/>
  <c r="Y85" i="3"/>
  <c r="X88" i="3"/>
  <c r="AC96" i="3"/>
  <c r="R134" i="3"/>
  <c r="S134" i="3" s="1"/>
  <c r="R138" i="3"/>
  <c r="P147" i="3"/>
  <c r="W157" i="3"/>
  <c r="AD80" i="3"/>
  <c r="X81" i="3"/>
  <c r="Z81" i="3" s="1"/>
  <c r="Y88" i="3"/>
  <c r="P23" i="1"/>
  <c r="E104" i="3" l="1"/>
  <c r="G104" i="3" s="1"/>
  <c r="H23" i="3"/>
  <c r="O149" i="3" s="1"/>
  <c r="P21" i="3"/>
  <c r="Y54" i="3"/>
  <c r="AA54" i="3" s="1"/>
  <c r="V60" i="3" s="1"/>
  <c r="X46" i="3"/>
  <c r="H49" i="3"/>
  <c r="E55" i="3"/>
  <c r="V40" i="3"/>
  <c r="AA94" i="3"/>
  <c r="E137" i="3"/>
  <c r="E141" i="3" s="1"/>
  <c r="J93" i="3"/>
  <c r="Q146" i="3" s="1"/>
  <c r="S146" i="3" s="1"/>
  <c r="I92" i="3"/>
  <c r="I93" i="3" s="1"/>
  <c r="Q138" i="3" s="1"/>
  <c r="P25" i="3"/>
  <c r="R25" i="3" s="1"/>
  <c r="X194" i="3"/>
  <c r="Z194" i="3" s="1"/>
  <c r="X34" i="3"/>
  <c r="P88" i="3"/>
  <c r="R88" i="3" s="1"/>
  <c r="D61" i="3"/>
  <c r="F120" i="3" s="1"/>
  <c r="E81" i="3"/>
  <c r="G81" i="3" s="1"/>
  <c r="I65" i="3"/>
  <c r="J65" i="3"/>
  <c r="E93" i="3"/>
  <c r="G93" i="3" s="1"/>
  <c r="I103" i="3"/>
  <c r="I104" i="3" s="1"/>
  <c r="Q178" i="3" s="1"/>
  <c r="J103" i="3"/>
  <c r="J104" i="3" s="1"/>
  <c r="Q186" i="3" s="1"/>
  <c r="S186" i="3" s="1"/>
  <c r="R178" i="3"/>
  <c r="S196" i="3" s="1"/>
  <c r="F81" i="3"/>
  <c r="I61" i="3"/>
  <c r="J61" i="3"/>
  <c r="W158" i="3"/>
  <c r="AE156" i="3"/>
  <c r="D65" i="3"/>
  <c r="K5" i="3"/>
  <c r="E65" i="3"/>
  <c r="E69" i="3" s="1"/>
  <c r="S174" i="3"/>
  <c r="K7" i="3"/>
  <c r="D93" i="3"/>
  <c r="F93" i="3" s="1"/>
  <c r="S156" i="3"/>
  <c r="R147" i="3"/>
  <c r="J79" i="3"/>
  <c r="J81" i="3" s="1"/>
  <c r="I79" i="3"/>
  <c r="I81" i="3" s="1"/>
  <c r="Q82" i="3" s="1"/>
  <c r="P75" i="3" l="1"/>
  <c r="O31" i="3"/>
  <c r="P170" i="3"/>
  <c r="Z2" i="3"/>
  <c r="Y180" i="3" s="1"/>
  <c r="O189" i="3"/>
  <c r="O35" i="3"/>
  <c r="Y2" i="3"/>
  <c r="Y140" i="3" s="1"/>
  <c r="O91" i="3"/>
  <c r="P9" i="3"/>
  <c r="P130" i="3"/>
  <c r="O191" i="3"/>
  <c r="O151" i="3"/>
  <c r="W2" i="3"/>
  <c r="V16" i="3" s="1"/>
  <c r="O93" i="3"/>
  <c r="Q88" i="3"/>
  <c r="S88" i="3" s="1"/>
  <c r="X65" i="3"/>
  <c r="P17" i="3" s="1"/>
  <c r="K119" i="3" s="1"/>
  <c r="K120" i="3" s="1"/>
  <c r="S35" i="3"/>
  <c r="R21" i="3" s="1"/>
  <c r="F122" i="3"/>
  <c r="E120" i="3"/>
  <c r="D67" i="3"/>
  <c r="F67" i="3" s="1"/>
  <c r="P156" i="3"/>
  <c r="L93" i="3"/>
  <c r="R167" i="3" s="1"/>
  <c r="F55" i="3"/>
  <c r="X61" i="3"/>
  <c r="U60" i="3"/>
  <c r="X59" i="3" s="1"/>
  <c r="S37" i="3" s="1"/>
  <c r="G122" i="3"/>
  <c r="G55" i="3"/>
  <c r="S147" i="3"/>
  <c r="S153" i="3"/>
  <c r="U81" i="3" s="1"/>
  <c r="U94" i="3" s="1"/>
  <c r="X100" i="3" s="1"/>
  <c r="Z100" i="3" s="1"/>
  <c r="K93" i="3"/>
  <c r="R165" i="3" s="1"/>
  <c r="Q147" i="3"/>
  <c r="G120" i="3"/>
  <c r="Q187" i="3"/>
  <c r="E122" i="3"/>
  <c r="E67" i="3"/>
  <c r="G67" i="3" s="1"/>
  <c r="R59" i="3" s="1"/>
  <c r="K104" i="3"/>
  <c r="P196" i="3"/>
  <c r="L104" i="3"/>
  <c r="R187" i="3"/>
  <c r="D69" i="3"/>
  <c r="R161" i="3"/>
  <c r="K31" i="3"/>
  <c r="K35" i="3" s="1"/>
  <c r="R160" i="3"/>
  <c r="L81" i="3"/>
  <c r="W198" i="3"/>
  <c r="AE196" i="3"/>
  <c r="J69" i="3"/>
  <c r="J67" i="3"/>
  <c r="I67" i="3"/>
  <c r="I69" i="3"/>
  <c r="H55" i="3"/>
  <c r="S193" i="3"/>
  <c r="S187" i="3"/>
  <c r="R106" i="3"/>
  <c r="R107" i="3"/>
  <c r="R163" i="3"/>
  <c r="R162" i="3"/>
  <c r="K19" i="3"/>
  <c r="K23" i="3" s="1"/>
  <c r="R105" i="3"/>
  <c r="R104" i="3"/>
  <c r="K81" i="3"/>
  <c r="AX15" i="1"/>
  <c r="AC43" i="1" s="1"/>
  <c r="AX17" i="1"/>
  <c r="AC45" i="1" s="1"/>
  <c r="U183" i="3" l="1"/>
  <c r="X183" i="3"/>
  <c r="AD175" i="3"/>
  <c r="AC188" i="3"/>
  <c r="Z8" i="3"/>
  <c r="W34" i="3"/>
  <c r="Z34" i="3" s="1"/>
  <c r="AE40" i="3" s="1"/>
  <c r="AE10" i="3"/>
  <c r="AC28" i="3"/>
  <c r="X176" i="3"/>
  <c r="Z176" i="3" s="1"/>
  <c r="AE32" i="3"/>
  <c r="Y20" i="3"/>
  <c r="AE28" i="3"/>
  <c r="W174" i="3"/>
  <c r="AC190" i="3"/>
  <c r="X174" i="3"/>
  <c r="Z174" i="3"/>
  <c r="U180" i="3"/>
  <c r="AE175" i="3"/>
  <c r="V180" i="3"/>
  <c r="Y183" i="3"/>
  <c r="U143" i="3"/>
  <c r="X180" i="3"/>
  <c r="AD135" i="3"/>
  <c r="AC150" i="3"/>
  <c r="U140" i="3"/>
  <c r="AC148" i="3"/>
  <c r="AE150" i="3"/>
  <c r="X140" i="3"/>
  <c r="W134" i="3"/>
  <c r="X143" i="3"/>
  <c r="AE135" i="3"/>
  <c r="AE148" i="3"/>
  <c r="V140" i="3"/>
  <c r="S31" i="3"/>
  <c r="Z134" i="3"/>
  <c r="Y143" i="3"/>
  <c r="AB134" i="3"/>
  <c r="V143" i="3"/>
  <c r="X136" i="3"/>
  <c r="Z136" i="3" s="1"/>
  <c r="X134" i="3"/>
  <c r="AB8" i="3"/>
  <c r="X8" i="3"/>
  <c r="X16" i="3"/>
  <c r="V20" i="3"/>
  <c r="X12" i="3"/>
  <c r="Z12" i="3" s="1"/>
  <c r="Y16" i="3"/>
  <c r="AD10" i="3"/>
  <c r="X20" i="3"/>
  <c r="AC32" i="3"/>
  <c r="AE190" i="3"/>
  <c r="AB174" i="3"/>
  <c r="AE188" i="3"/>
  <c r="U16" i="3"/>
  <c r="W8" i="3"/>
  <c r="U20" i="3"/>
  <c r="V183" i="3"/>
  <c r="H122" i="3"/>
  <c r="I122" i="3" s="1"/>
  <c r="R17" i="3"/>
  <c r="Q21" i="3"/>
  <c r="S21" i="3" s="1"/>
  <c r="O49" i="3"/>
  <c r="Q17" i="3"/>
  <c r="K9" i="3"/>
  <c r="K13" i="3" s="1"/>
  <c r="R168" i="3"/>
  <c r="H120" i="3"/>
  <c r="I120" i="3" s="1"/>
  <c r="H9" i="3"/>
  <c r="H13" i="3" s="1"/>
  <c r="B2" i="3"/>
  <c r="D13" i="3"/>
  <c r="P79" i="3"/>
  <c r="S102" i="3" s="1"/>
  <c r="R166" i="3"/>
  <c r="AB81" i="3"/>
  <c r="V81" i="3"/>
  <c r="X63" i="3"/>
  <c r="D55" i="3"/>
  <c r="B3" i="3"/>
  <c r="R61" i="3"/>
  <c r="R110" i="3"/>
  <c r="R109" i="3"/>
  <c r="L67" i="3"/>
  <c r="Q25" i="3"/>
  <c r="R57" i="3"/>
  <c r="R55" i="3"/>
  <c r="K67" i="3"/>
  <c r="K55" i="3"/>
  <c r="R111" i="3"/>
  <c r="R112" i="3"/>
  <c r="W110" i="3"/>
  <c r="X110" i="3" s="1"/>
  <c r="AE102" i="3"/>
  <c r="X115" i="3"/>
  <c r="V54" i="3" l="1"/>
  <c r="G114" i="3"/>
  <c r="P89" i="3"/>
  <c r="R79" i="3"/>
  <c r="S100" i="3" s="1"/>
  <c r="Q79" i="3"/>
  <c r="R71" i="3"/>
  <c r="R69" i="3"/>
  <c r="S25" i="3"/>
  <c r="R67" i="3"/>
  <c r="R65" i="3"/>
  <c r="Z61" i="3"/>
  <c r="Z63" i="3" s="1"/>
  <c r="X123" i="3"/>
  <c r="AA122" i="3" s="1"/>
  <c r="X119" i="3"/>
  <c r="S93" i="3" s="1"/>
  <c r="X118" i="3"/>
  <c r="AE106" i="3" s="1"/>
  <c r="X117" i="3"/>
  <c r="S96" i="3" s="1"/>
  <c r="X121" i="3"/>
  <c r="CR2" i="1"/>
  <c r="R89" i="3" l="1"/>
  <c r="S79" i="3"/>
  <c r="S89" i="3" s="1"/>
  <c r="Q89" i="3"/>
  <c r="P100" i="3"/>
  <c r="AN39" i="1"/>
  <c r="S97" i="3" l="1"/>
  <c r="U12" i="3" s="1"/>
  <c r="V12" i="3" s="1"/>
  <c r="BX129" i="1"/>
  <c r="BX125" i="1"/>
  <c r="AC12" i="3" l="1"/>
  <c r="AB12" i="3"/>
  <c r="P13" i="3"/>
  <c r="P27" i="3" s="1"/>
  <c r="R13" i="3" l="1"/>
  <c r="S47" i="3" s="1"/>
  <c r="S51" i="3"/>
  <c r="Q13" i="3"/>
  <c r="P47" i="3" s="1"/>
  <c r="J119" i="3"/>
  <c r="J120" i="3" s="1"/>
  <c r="D116" i="3" s="1"/>
  <c r="AX23" i="1"/>
  <c r="AC51" i="1" s="1"/>
  <c r="AN41" i="1"/>
  <c r="AN53" i="1"/>
  <c r="AN65" i="1"/>
  <c r="R27" i="3" l="1"/>
  <c r="S13" i="3"/>
  <c r="S41" i="3" s="1"/>
  <c r="Q27" i="3"/>
  <c r="BX55" i="1"/>
  <c r="S27" i="3" l="1"/>
  <c r="CR176" i="1"/>
  <c r="CJ150" i="1"/>
  <c r="CJ92" i="1"/>
  <c r="CX156" i="1"/>
  <c r="CT2" i="1"/>
  <c r="CX196" i="1"/>
  <c r="CP176" i="1"/>
  <c r="CQ176" i="1" s="1"/>
  <c r="CN192" i="1"/>
  <c r="CN190" i="1"/>
  <c r="CP189" i="1" l="1"/>
  <c r="CR197" i="1"/>
  <c r="CQ189" i="1"/>
  <c r="AT67" i="1"/>
  <c r="CR189" i="1" l="1"/>
  <c r="CS189" i="1"/>
  <c r="BV98" i="1" l="1"/>
  <c r="BV87" i="1"/>
  <c r="AX71" i="1"/>
  <c r="AP71" i="1"/>
  <c r="AP69" i="1"/>
  <c r="AP67" i="1"/>
  <c r="BV96" i="1"/>
  <c r="BV85" i="1"/>
  <c r="BV71" i="1"/>
  <c r="CE100" i="1"/>
  <c r="BW104" i="1"/>
  <c r="BW103" i="1"/>
  <c r="BW102" i="1"/>
  <c r="BW100" i="1"/>
  <c r="CS2" i="1"/>
  <c r="CU2" i="1"/>
  <c r="AO47" i="1"/>
  <c r="BX102" i="1" l="1"/>
  <c r="BZ102" i="1" s="1"/>
  <c r="CC102" i="1"/>
  <c r="CE102" i="1" s="1"/>
  <c r="BX104" i="1"/>
  <c r="CC104" i="1"/>
  <c r="BX103" i="1"/>
  <c r="CC103" i="1"/>
  <c r="CD103" i="1" s="1"/>
  <c r="BY75" i="1"/>
  <c r="BY89" i="1"/>
  <c r="CD100" i="1"/>
  <c r="BZ89" i="1"/>
  <c r="CD89" i="1"/>
  <c r="BY100" i="1"/>
  <c r="CE89" i="1"/>
  <c r="CW8" i="1"/>
  <c r="CX8" i="1"/>
  <c r="CX93" i="1"/>
  <c r="CZ93" i="1"/>
  <c r="CP180" i="1"/>
  <c r="CQ180" i="1"/>
  <c r="CT180" i="1"/>
  <c r="CR174" i="1"/>
  <c r="CS174" i="1"/>
  <c r="CZ188" i="1"/>
  <c r="CU174" i="1"/>
  <c r="CX188" i="1"/>
  <c r="CW174" i="1"/>
  <c r="CS180" i="1"/>
  <c r="BZ100" i="1"/>
  <c r="BX127" i="1"/>
  <c r="F164" i="1"/>
  <c r="F163" i="1"/>
  <c r="F162" i="1"/>
  <c r="F161" i="1"/>
  <c r="F160" i="1"/>
  <c r="F159" i="1"/>
  <c r="F143" i="1"/>
  <c r="G143" i="1"/>
  <c r="F144" i="1"/>
  <c r="G144" i="1"/>
  <c r="F145" i="1"/>
  <c r="G145" i="1"/>
  <c r="F146" i="1"/>
  <c r="G146" i="1"/>
  <c r="F147" i="1"/>
  <c r="G147" i="1"/>
  <c r="F148" i="1"/>
  <c r="G148" i="1"/>
  <c r="H144" i="1"/>
  <c r="H143" i="1"/>
  <c r="BY45" i="1" l="1"/>
  <c r="CE103" i="1"/>
  <c r="CE104" i="1" s="1"/>
  <c r="CG104" i="1" s="1"/>
  <c r="CE105" i="1"/>
  <c r="BZ104" i="1"/>
  <c r="CB104" i="1" s="1"/>
  <c r="CV2" i="1"/>
  <c r="CJ191" i="1"/>
  <c r="CJ189" i="1"/>
  <c r="CQ174" i="1"/>
  <c r="CP174" i="1"/>
  <c r="CK170" i="1"/>
  <c r="CJ170" i="1"/>
  <c r="CG105" i="1" l="1"/>
  <c r="B43" i="1"/>
  <c r="C41" i="1"/>
  <c r="BZ130" i="1" l="1"/>
  <c r="AX21" i="1"/>
  <c r="AC49" i="1" s="1"/>
  <c r="K55" i="1"/>
  <c r="K45" i="1"/>
  <c r="BY102" i="1" l="1"/>
  <c r="CD102" i="1"/>
  <c r="BY103" i="1"/>
  <c r="BZ103" i="1"/>
  <c r="BZ105" i="1" s="1"/>
  <c r="CB105" i="1" s="1"/>
  <c r="CF47" i="1"/>
  <c r="CG47" i="1"/>
  <c r="CG51" i="1"/>
  <c r="CC45" i="1"/>
  <c r="B25" i="1"/>
  <c r="CD104" i="1" l="1"/>
  <c r="CF104" i="1" s="1"/>
  <c r="CD105" i="1"/>
  <c r="BY105" i="1"/>
  <c r="CN195" i="1"/>
  <c r="AO69" i="1" s="1"/>
  <c r="CS176" i="1"/>
  <c r="CU176" i="1" s="1"/>
  <c r="CQ183" i="1" s="1"/>
  <c r="CG55" i="1"/>
  <c r="CC47" i="1"/>
  <c r="CC49" i="1" s="1"/>
  <c r="BY47" i="1"/>
  <c r="BY104" i="1"/>
  <c r="CF105" i="1" l="1"/>
  <c r="CR194" i="1"/>
  <c r="CA104" i="1"/>
  <c r="CS114" i="1"/>
  <c r="CP110" i="1"/>
  <c r="CQ91" i="1"/>
  <c r="CD94" i="1"/>
  <c r="BZ75" i="1"/>
  <c r="CE75" i="1"/>
  <c r="CB107" i="1"/>
  <c r="CA107" i="1"/>
  <c r="BZ107" i="1"/>
  <c r="BY107" i="1"/>
  <c r="BX107" i="1"/>
  <c r="BW93" i="1"/>
  <c r="BW92" i="1"/>
  <c r="BW91" i="1"/>
  <c r="BW89" i="1"/>
  <c r="BW81" i="1"/>
  <c r="BW79" i="1"/>
  <c r="BW77" i="1"/>
  <c r="BW75" i="1"/>
  <c r="BW67" i="1"/>
  <c r="BW65" i="1"/>
  <c r="BW63" i="1"/>
  <c r="BW61" i="1"/>
  <c r="BW132" i="1"/>
  <c r="AX59" i="1"/>
  <c r="AX47" i="1"/>
  <c r="AX35" i="1"/>
  <c r="CQ134" i="1"/>
  <c r="CP134" i="1"/>
  <c r="K31" i="1"/>
  <c r="K27" i="1"/>
  <c r="CQ79" i="1"/>
  <c r="CP79" i="1"/>
  <c r="CQ24" i="1"/>
  <c r="CK130" i="1"/>
  <c r="CJ130" i="1"/>
  <c r="CK75" i="1"/>
  <c r="CJ75" i="1"/>
  <c r="CJ9" i="1"/>
  <c r="CK9" i="1"/>
  <c r="CJ35" i="1"/>
  <c r="CJ33" i="1"/>
  <c r="CJ31" i="1"/>
  <c r="CQ8" i="1"/>
  <c r="CP8" i="1"/>
  <c r="AX82" i="1"/>
  <c r="AX81" i="1"/>
  <c r="AX79" i="1"/>
  <c r="AX77" i="1"/>
  <c r="BX120" i="1"/>
  <c r="BY110" i="1"/>
  <c r="BX110" i="1"/>
  <c r="BV73" i="1"/>
  <c r="BV59" i="1"/>
  <c r="BV55" i="1"/>
  <c r="CB110" i="1"/>
  <c r="CA110" i="1"/>
  <c r="BZ110" i="1"/>
  <c r="BX124" i="1"/>
  <c r="AX83" i="1"/>
  <c r="AA83" i="1" s="1"/>
  <c r="AX93" i="1"/>
  <c r="AA92" i="1" s="1"/>
  <c r="AX91" i="1"/>
  <c r="AA90" i="1" s="1"/>
  <c r="AX90" i="1"/>
  <c r="AA89" i="1" s="1"/>
  <c r="AX88" i="1"/>
  <c r="AA88" i="1" s="1"/>
  <c r="AX19" i="1"/>
  <c r="AC47" i="1" s="1"/>
  <c r="AP59" i="1"/>
  <c r="AP55" i="1"/>
  <c r="AP57" i="1"/>
  <c r="AP47" i="1"/>
  <c r="AP43" i="1"/>
  <c r="AP45" i="1"/>
  <c r="AP35" i="1"/>
  <c r="AP31" i="1"/>
  <c r="AP33" i="1"/>
  <c r="K39" i="1"/>
  <c r="K29" i="1"/>
  <c r="Q33" i="1" s="1"/>
  <c r="K25" i="1"/>
  <c r="K17" i="1"/>
  <c r="I164" i="1"/>
  <c r="H164" i="1"/>
  <c r="I163" i="1"/>
  <c r="H163" i="1"/>
  <c r="I162" i="1"/>
  <c r="H162" i="1"/>
  <c r="I161" i="1"/>
  <c r="H161" i="1"/>
  <c r="I160" i="1"/>
  <c r="H160" i="1"/>
  <c r="I159" i="1"/>
  <c r="H159" i="1"/>
  <c r="I143" i="1"/>
  <c r="I144" i="1"/>
  <c r="I145" i="1"/>
  <c r="I146" i="1"/>
  <c r="I147" i="1"/>
  <c r="I148" i="1"/>
  <c r="H148" i="1"/>
  <c r="H146" i="1"/>
  <c r="H145" i="1"/>
  <c r="H147" i="1"/>
  <c r="BX119" i="1"/>
  <c r="CN152" i="1"/>
  <c r="CJ91" i="1"/>
  <c r="CJ149" i="1"/>
  <c r="CJ151" i="1"/>
  <c r="CJ93" i="1"/>
  <c r="BV57" i="1"/>
  <c r="BX75" i="1" l="1"/>
  <c r="CC75" i="1"/>
  <c r="BX77" i="1"/>
  <c r="BZ77" i="1" s="1"/>
  <c r="CG23" i="1" s="1"/>
  <c r="CC77" i="1"/>
  <c r="BX61" i="1"/>
  <c r="BZ61" i="1" s="1"/>
  <c r="CC61" i="1"/>
  <c r="BX63" i="1"/>
  <c r="CC63" i="1"/>
  <c r="BX91" i="1"/>
  <c r="BZ91" i="1" s="1"/>
  <c r="CC91" i="1"/>
  <c r="BX65" i="1"/>
  <c r="CC65" i="1"/>
  <c r="CD65" i="1" s="1"/>
  <c r="CC92" i="1"/>
  <c r="CD92" i="1" s="1"/>
  <c r="BX92" i="1"/>
  <c r="BX79" i="1"/>
  <c r="CC79" i="1"/>
  <c r="CE79" i="1" s="1"/>
  <c r="BX81" i="1"/>
  <c r="CC81" i="1"/>
  <c r="BX67" i="1"/>
  <c r="CC67" i="1"/>
  <c r="AU21" i="1" s="1"/>
  <c r="Z49" i="1" s="1"/>
  <c r="CC93" i="1"/>
  <c r="BX93" i="1"/>
  <c r="AG22" i="1"/>
  <c r="AA81" i="1"/>
  <c r="AG33" i="1"/>
  <c r="AA79" i="1"/>
  <c r="AJ23" i="1"/>
  <c r="AA82" i="1"/>
  <c r="AA77" i="1"/>
  <c r="X37" i="1"/>
  <c r="Q23" i="1"/>
  <c r="Q26" i="1"/>
  <c r="CP140" i="1"/>
  <c r="CU134" i="1"/>
  <c r="CW134" i="1"/>
  <c r="CS134" i="1"/>
  <c r="CR134" i="1"/>
  <c r="CF45" i="1"/>
  <c r="CF49" i="1" s="1"/>
  <c r="CT189" i="1" s="1"/>
  <c r="CV189" i="1" s="1"/>
  <c r="CA105" i="1"/>
  <c r="CD75" i="1"/>
  <c r="BY94" i="1"/>
  <c r="CU79" i="1"/>
  <c r="CT140" i="1"/>
  <c r="CP16" i="1"/>
  <c r="CZ28" i="1"/>
  <c r="CQ16" i="1"/>
  <c r="CS79" i="1"/>
  <c r="CR8" i="1"/>
  <c r="CS8" i="1"/>
  <c r="CT16" i="1"/>
  <c r="CX28" i="1"/>
  <c r="CR79" i="1"/>
  <c r="CT85" i="1"/>
  <c r="CS85" i="1"/>
  <c r="CS140" i="1"/>
  <c r="CE3" i="1"/>
  <c r="CU8" i="1"/>
  <c r="CS16" i="1"/>
  <c r="CQ85" i="1"/>
  <c r="CQ140" i="1"/>
  <c r="CP85" i="1"/>
  <c r="CZ148" i="1"/>
  <c r="CW79" i="1"/>
  <c r="CX148" i="1"/>
  <c r="CG112" i="1" l="1"/>
  <c r="CE92" i="1"/>
  <c r="CE65" i="1"/>
  <c r="CF21" i="1"/>
  <c r="BY79" i="1"/>
  <c r="BZ79" i="1"/>
  <c r="BZ81" i="1" s="1"/>
  <c r="CB81" i="1" s="1"/>
  <c r="BZ92" i="1"/>
  <c r="BZ93" i="1" s="1"/>
  <c r="CB93" i="1" s="1"/>
  <c r="CM162" i="1" s="1"/>
  <c r="CF33" i="1"/>
  <c r="BY92" i="1"/>
  <c r="CD61" i="1"/>
  <c r="CE61" i="1"/>
  <c r="CD79" i="1"/>
  <c r="AO35" i="1"/>
  <c r="BY61" i="1"/>
  <c r="AU81" i="1"/>
  <c r="BZ63" i="1"/>
  <c r="BZ55" i="1" s="1"/>
  <c r="BY63" i="1"/>
  <c r="CD77" i="1"/>
  <c r="CE77" i="1"/>
  <c r="CF7" i="1"/>
  <c r="CF5" i="1"/>
  <c r="BY65" i="1"/>
  <c r="BZ65" i="1"/>
  <c r="BY77" i="1"/>
  <c r="CC21" i="1" s="1"/>
  <c r="BY19" i="1"/>
  <c r="BY49" i="1" s="1"/>
  <c r="CW176" i="1" s="1"/>
  <c r="CD91" i="1"/>
  <c r="CD93" i="1" s="1"/>
  <c r="CF93" i="1" s="1"/>
  <c r="CF94" i="1" s="1"/>
  <c r="CE91" i="1"/>
  <c r="CD63" i="1"/>
  <c r="CE63" i="1"/>
  <c r="BY31" i="1"/>
  <c r="CC31" i="1" s="1"/>
  <c r="BY91" i="1"/>
  <c r="CS194" i="1"/>
  <c r="CK178" i="1" s="1"/>
  <c r="CG33" i="1"/>
  <c r="CG37" i="1"/>
  <c r="CG19" i="1"/>
  <c r="CG27" i="1" s="1"/>
  <c r="CE94" i="1"/>
  <c r="BZ94" i="1"/>
  <c r="BZ83" i="1"/>
  <c r="CD83" i="1"/>
  <c r="BZ67" i="1" l="1"/>
  <c r="CB67" i="1" s="1"/>
  <c r="BW3" i="1" s="1"/>
  <c r="CE81" i="1"/>
  <c r="CG81" i="1" s="1"/>
  <c r="CM112" i="1" s="1"/>
  <c r="CE83" i="1"/>
  <c r="BY83" i="1"/>
  <c r="CG83" i="1"/>
  <c r="CG11" i="1"/>
  <c r="CG7" i="1"/>
  <c r="CE93" i="1"/>
  <c r="CG93" i="1" s="1"/>
  <c r="CM167" i="1" s="1"/>
  <c r="CE67" i="1"/>
  <c r="CG67" i="1" s="1"/>
  <c r="AU23" i="1" s="1"/>
  <c r="Z51" i="1" s="1"/>
  <c r="CD81" i="1"/>
  <c r="CF81" i="1" s="1"/>
  <c r="CM110" i="1" s="1"/>
  <c r="BZ69" i="1"/>
  <c r="CZ190" i="1"/>
  <c r="CZ175" i="1"/>
  <c r="CS183" i="1"/>
  <c r="CP183" i="1"/>
  <c r="BY11" i="1"/>
  <c r="BY69" i="1"/>
  <c r="BY93" i="1"/>
  <c r="CA93" i="1" s="1"/>
  <c r="CF31" i="1" s="1"/>
  <c r="CF35" i="1" s="1"/>
  <c r="CC33" i="1"/>
  <c r="CC35" i="1" s="1"/>
  <c r="BY33" i="1"/>
  <c r="BY35" i="1" s="1"/>
  <c r="CE69" i="1"/>
  <c r="AU82" i="1"/>
  <c r="Y81" i="1"/>
  <c r="AF23" i="1"/>
  <c r="BY21" i="1"/>
  <c r="BY23" i="1" s="1"/>
  <c r="BY81" i="1"/>
  <c r="CA81" i="1" s="1"/>
  <c r="CF19" i="1" s="1"/>
  <c r="CF23" i="1" s="1"/>
  <c r="CC55" i="1"/>
  <c r="CD69" i="1"/>
  <c r="CD67" i="1"/>
  <c r="BY9" i="1"/>
  <c r="BY67" i="1"/>
  <c r="CC11" i="1"/>
  <c r="CF11" i="1"/>
  <c r="CA55" i="1"/>
  <c r="BZ122" i="1"/>
  <c r="CA120" i="1"/>
  <c r="CB122" i="1"/>
  <c r="CB120" i="1"/>
  <c r="BZ120" i="1"/>
  <c r="CB55" i="1"/>
  <c r="CA122" i="1"/>
  <c r="CC19" i="1"/>
  <c r="CC23" i="1" s="1"/>
  <c r="CU194" i="1"/>
  <c r="CR198" i="1" s="1"/>
  <c r="CK182" i="1" s="1"/>
  <c r="CK186" i="1"/>
  <c r="CL186" i="1" s="1"/>
  <c r="CB94" i="1"/>
  <c r="CG41" i="1"/>
  <c r="CM163" i="1"/>
  <c r="CL178" i="1"/>
  <c r="CM178" i="1"/>
  <c r="CN191" i="1"/>
  <c r="CN194" i="1" s="1"/>
  <c r="AO67" i="1" s="1"/>
  <c r="CG94" i="1"/>
  <c r="CA94" i="1"/>
  <c r="CB83" i="1"/>
  <c r="CM165" i="1"/>
  <c r="CM166" i="1"/>
  <c r="CF83" i="1"/>
  <c r="CM107" i="1"/>
  <c r="CM106" i="1"/>
  <c r="BY55" i="1" l="1"/>
  <c r="CM61" i="1"/>
  <c r="CM59" i="1"/>
  <c r="CB69" i="1"/>
  <c r="CM111" i="1"/>
  <c r="CG15" i="1"/>
  <c r="CA83" i="1"/>
  <c r="CG69" i="1"/>
  <c r="CM69" i="1"/>
  <c r="CM109" i="1"/>
  <c r="CM71" i="1"/>
  <c r="CM161" i="1"/>
  <c r="CM168" i="1"/>
  <c r="CT183" i="1"/>
  <c r="CN189" i="1" s="1"/>
  <c r="CC120" i="1"/>
  <c r="CF9" i="1"/>
  <c r="CF13" i="1" s="1"/>
  <c r="CA67" i="1"/>
  <c r="CM57" i="1" s="1"/>
  <c r="CM104" i="1"/>
  <c r="CC9" i="1"/>
  <c r="CC13" i="1" s="1"/>
  <c r="BY13" i="1"/>
  <c r="BW2" i="1"/>
  <c r="AI23" i="1"/>
  <c r="Y82" i="1"/>
  <c r="CM160" i="1"/>
  <c r="CF67" i="1"/>
  <c r="CM65" i="1" s="1"/>
  <c r="CF55" i="1"/>
  <c r="CM105" i="1"/>
  <c r="CC122" i="1"/>
  <c r="CD122" i="1" s="1"/>
  <c r="CM186" i="1"/>
  <c r="CN186" i="1" s="1"/>
  <c r="CN178" i="1"/>
  <c r="AW67" i="1"/>
  <c r="AU73" i="1" s="1"/>
  <c r="CK174" i="1"/>
  <c r="CL174" i="1" s="1"/>
  <c r="CM182" i="1"/>
  <c r="CL182" i="1"/>
  <c r="CM55" i="1" l="1"/>
  <c r="CA69" i="1"/>
  <c r="CD120" i="1"/>
  <c r="CB114" i="1" s="1"/>
  <c r="CY175" i="1"/>
  <c r="CX190" i="1"/>
  <c r="CM67" i="1"/>
  <c r="CF69" i="1"/>
  <c r="CK196" i="1"/>
  <c r="CR136" i="1"/>
  <c r="CS136" i="1" s="1"/>
  <c r="CU136" i="1" s="1"/>
  <c r="CQ143" i="1" s="1"/>
  <c r="CL187" i="1"/>
  <c r="CN198" i="1"/>
  <c r="CK187" i="1"/>
  <c r="CM174" i="1"/>
  <c r="CN196" i="1" s="1"/>
  <c r="CN182" i="1"/>
  <c r="CN174" i="1" l="1"/>
  <c r="CM187" i="1"/>
  <c r="CN193" i="1" l="1"/>
  <c r="CP136" i="1" s="1"/>
  <c r="CW136" i="1" s="1"/>
  <c r="CN187" i="1"/>
  <c r="AU71" i="1" l="1"/>
  <c r="CS143" i="1" l="1"/>
  <c r="CP143" i="1"/>
  <c r="CQ136" i="1"/>
  <c r="CP149" i="1"/>
  <c r="CZ196" i="1"/>
  <c r="CT143" i="1" l="1"/>
  <c r="CY135" i="1" s="1"/>
  <c r="CZ135" i="1"/>
  <c r="CZ150" i="1"/>
  <c r="CX150" i="1" l="1"/>
  <c r="CN150" i="1" s="1"/>
  <c r="CN155" i="1" s="1"/>
  <c r="AO57" i="1" s="1"/>
  <c r="CN149" i="1"/>
  <c r="CR157" i="1" l="1"/>
  <c r="CQ149" i="1"/>
  <c r="AT55" i="1"/>
  <c r="CS149" i="1" l="1"/>
  <c r="CT149" i="1" s="1"/>
  <c r="CR149" i="1"/>
  <c r="CR154" i="1" l="1"/>
  <c r="CV149" i="1"/>
  <c r="CS154" i="1" s="1"/>
  <c r="CU154" i="1" l="1"/>
  <c r="CN151" i="1" s="1"/>
  <c r="CK146" i="1"/>
  <c r="CM146" i="1" s="1"/>
  <c r="CK138" i="1"/>
  <c r="CL146" i="1" l="1"/>
  <c r="CN146" i="1" s="1"/>
  <c r="CL138" i="1"/>
  <c r="CM138" i="1"/>
  <c r="CR158" i="1"/>
  <c r="CK142" i="1" s="1"/>
  <c r="CM142" i="1" s="1"/>
  <c r="CZ156" i="1"/>
  <c r="CN154" i="1"/>
  <c r="AO55" i="1" s="1"/>
  <c r="AW55" i="1"/>
  <c r="CK134" i="1"/>
  <c r="CL134" i="1" s="1"/>
  <c r="CN138" i="1" l="1"/>
  <c r="BX140" i="1"/>
  <c r="CR81" i="1"/>
  <c r="CS81" i="1" s="1"/>
  <c r="CU81" i="1" s="1"/>
  <c r="CQ88" i="1" s="1"/>
  <c r="CL142" i="1"/>
  <c r="CN142" i="1" s="1"/>
  <c r="AU61" i="1"/>
  <c r="BY140" i="1"/>
  <c r="CN158" i="1"/>
  <c r="CK147" i="1"/>
  <c r="CM134" i="1"/>
  <c r="CK156" i="1" l="1"/>
  <c r="CM147" i="1"/>
  <c r="CN156" i="1"/>
  <c r="BZ140" i="1"/>
  <c r="CL147" i="1"/>
  <c r="CN134" i="1"/>
  <c r="CN147" i="1" l="1"/>
  <c r="CN153" i="1"/>
  <c r="CP81" i="1" s="1"/>
  <c r="AU59" i="1" l="1"/>
  <c r="CP94" i="1" l="1"/>
  <c r="CW81" i="1"/>
  <c r="CQ81" i="1"/>
  <c r="CZ80" i="1" l="1"/>
  <c r="CP88" i="1"/>
  <c r="CS88" i="1"/>
  <c r="CZ96" i="1"/>
  <c r="CT88" i="1" l="1"/>
  <c r="CX96" i="1" s="1"/>
  <c r="CN92" i="1" l="1"/>
  <c r="CN99" i="1" s="1"/>
  <c r="AO45" i="1" s="1"/>
  <c r="CY80" i="1"/>
  <c r="CN91" i="1"/>
  <c r="CX102" i="1"/>
  <c r="CQ110" i="1" l="1"/>
  <c r="CQ94" i="1"/>
  <c r="CS94" i="1" l="1"/>
  <c r="CR100" i="1" s="1"/>
  <c r="CR94" i="1"/>
  <c r="CT94" i="1" l="1"/>
  <c r="CV94" i="1" s="1"/>
  <c r="CS100" i="1" l="1"/>
  <c r="CU100" i="1" s="1"/>
  <c r="CP105" i="1" s="1"/>
  <c r="CQ105" i="1" l="1"/>
  <c r="CR105" i="1" s="1"/>
  <c r="CS115" i="1"/>
  <c r="CS116" i="1" s="1"/>
  <c r="CN94" i="1" s="1"/>
  <c r="CR110" i="1"/>
  <c r="CS110" i="1" s="1"/>
  <c r="CZ102" i="1"/>
  <c r="CS105" i="1" l="1"/>
  <c r="CS123" i="1"/>
  <c r="CS119" i="1"/>
  <c r="CN93" i="1" s="1"/>
  <c r="CN98" i="1" s="1"/>
  <c r="CS121" i="1"/>
  <c r="CS117" i="1"/>
  <c r="CN96" i="1" s="1"/>
  <c r="CX106" i="1"/>
  <c r="CR12" i="1"/>
  <c r="CS12" i="1" s="1"/>
  <c r="CK82" i="1"/>
  <c r="CM82" i="1" s="1"/>
  <c r="AO43" i="1" l="1"/>
  <c r="BX136" i="1" s="1"/>
  <c r="CS118" i="1"/>
  <c r="CK85" i="1" s="1"/>
  <c r="CV122" i="1"/>
  <c r="CK79" i="1"/>
  <c r="CL79" i="1" s="1"/>
  <c r="CL82" i="1"/>
  <c r="CN82" i="1" s="1"/>
  <c r="CK88" i="1" l="1"/>
  <c r="CM88" i="1" s="1"/>
  <c r="AT45" i="1"/>
  <c r="AW45" i="1" s="1"/>
  <c r="CZ106" i="1"/>
  <c r="AT43" i="1"/>
  <c r="AW43" i="1" s="1"/>
  <c r="CM79" i="1"/>
  <c r="CL85" i="1"/>
  <c r="CM85" i="1"/>
  <c r="CL88" i="1" l="1"/>
  <c r="CN88" i="1" s="1"/>
  <c r="CN102" i="1"/>
  <c r="CK89" i="1"/>
  <c r="CN79" i="1"/>
  <c r="CN100" i="1"/>
  <c r="BY136" i="1"/>
  <c r="BZ136" i="1" s="1"/>
  <c r="AU49" i="1"/>
  <c r="CM89" i="1"/>
  <c r="CN85" i="1"/>
  <c r="CL89" i="1" l="1"/>
  <c r="CK100" i="1"/>
  <c r="CN97" i="1"/>
  <c r="CP12" i="1" s="1"/>
  <c r="CU12" i="1" s="1"/>
  <c r="CN89" i="1"/>
  <c r="CW12" i="1" l="1"/>
  <c r="CQ20" i="1"/>
  <c r="CX12" i="1"/>
  <c r="AU47" i="1"/>
  <c r="CP28" i="1"/>
  <c r="CQ12" i="1" l="1"/>
  <c r="CS20" i="1" l="1"/>
  <c r="CP20" i="1"/>
  <c r="CZ10" i="1"/>
  <c r="CZ32" i="1"/>
  <c r="CT20" i="1" l="1"/>
  <c r="CN31" i="1" l="1"/>
  <c r="CN33" i="1"/>
  <c r="CY10" i="1"/>
  <c r="CX40" i="1"/>
  <c r="CX32" i="1"/>
  <c r="CW2" i="1" s="1"/>
  <c r="H43" i="1" s="1"/>
  <c r="B68" i="1" s="1"/>
  <c r="CQ28" i="1" l="1"/>
  <c r="CS57" i="1" s="1"/>
  <c r="CN45" i="1"/>
  <c r="AO33" i="1" s="1"/>
  <c r="CS28" i="1" l="1"/>
  <c r="CV28" i="1" s="1"/>
  <c r="CR28" i="1"/>
  <c r="CT28" i="1"/>
  <c r="CR34" i="1" l="1"/>
  <c r="CS34" i="1"/>
  <c r="CU34" i="1" l="1"/>
  <c r="CQ54" i="1" s="1"/>
  <c r="CR54" i="1" s="1"/>
  <c r="CP54" i="1" l="1"/>
  <c r="CS54" i="1" s="1"/>
  <c r="CT54" i="1" s="1"/>
  <c r="CV54" i="1" s="1"/>
  <c r="CP60" i="1" s="1"/>
  <c r="CQ40" i="1"/>
  <c r="CP40" i="1"/>
  <c r="CZ40" i="1"/>
  <c r="CR40" i="1" l="1"/>
  <c r="CU61" i="1"/>
  <c r="CU63" i="1" s="1"/>
  <c r="CS65" i="1"/>
  <c r="CN35" i="1"/>
  <c r="CN43" i="1" s="1"/>
  <c r="AU79" i="1" s="1"/>
  <c r="CQ60" i="1"/>
  <c r="CS59" i="1" s="1"/>
  <c r="CS63" i="1" s="1"/>
  <c r="CZ46" i="1"/>
  <c r="CS40" i="1"/>
  <c r="CP46" i="1" s="1"/>
  <c r="CZ42" i="1" s="1"/>
  <c r="Y79" i="1" l="1"/>
  <c r="AE33" i="1"/>
  <c r="AU77" i="1"/>
  <c r="AU93" i="1" s="1"/>
  <c r="X92" i="1" s="1"/>
  <c r="AO31" i="1"/>
  <c r="AU92" i="1" s="1"/>
  <c r="Y91" i="1" s="1"/>
  <c r="CK21" i="1"/>
  <c r="CK17" i="1"/>
  <c r="CM17" i="1" s="1"/>
  <c r="CS61" i="1"/>
  <c r="CK13" i="1" s="1"/>
  <c r="CL13" i="1" s="1"/>
  <c r="CN37" i="1"/>
  <c r="CK25" i="1"/>
  <c r="CN25" i="1" s="1"/>
  <c r="CQ46" i="1"/>
  <c r="CR46" i="1"/>
  <c r="CF112" i="1"/>
  <c r="C65" i="1" l="1"/>
  <c r="AU91" i="1"/>
  <c r="X90" i="1" s="1"/>
  <c r="CE112" i="1"/>
  <c r="BX116" i="1" s="1"/>
  <c r="U37" i="1"/>
  <c r="Y77" i="1"/>
  <c r="BW112" i="1"/>
  <c r="CN39" i="1"/>
  <c r="AT33" i="1" s="1"/>
  <c r="CL17" i="1"/>
  <c r="CN17" i="1" s="1"/>
  <c r="CJ49" i="1"/>
  <c r="CL25" i="1"/>
  <c r="CF119" i="1"/>
  <c r="CF120" i="1" s="1"/>
  <c r="CS46" i="1"/>
  <c r="CX46" i="1" s="1"/>
  <c r="CM25" i="1"/>
  <c r="CM13" i="1"/>
  <c r="CN13" i="1" s="1"/>
  <c r="CN51" i="1"/>
  <c r="AU25" i="1" s="1"/>
  <c r="Z53" i="1" s="1"/>
  <c r="CK27" i="1"/>
  <c r="CE119" i="1"/>
  <c r="CE120" i="1" s="1"/>
  <c r="CL21" i="1" l="1"/>
  <c r="CK47" i="1" s="1"/>
  <c r="AU17" i="1" s="1"/>
  <c r="Z45" i="1" s="1"/>
  <c r="CM21" i="1"/>
  <c r="CN47" i="1" s="1"/>
  <c r="AU15" i="1" s="1"/>
  <c r="Z43" i="1" s="1"/>
  <c r="AW33" i="1"/>
  <c r="AT31" i="1"/>
  <c r="AQ41" i="1" s="1"/>
  <c r="AW31" i="1"/>
  <c r="BY116" i="1"/>
  <c r="CL27" i="1" l="1"/>
  <c r="CM27" i="1"/>
  <c r="CN21" i="1"/>
  <c r="CN41" i="1" s="1"/>
  <c r="AU19" i="1" s="1"/>
  <c r="Z47" i="1" s="1"/>
  <c r="H49" i="1"/>
  <c r="AU83" i="1"/>
  <c r="Y83" i="1" s="1"/>
  <c r="BY133" i="1"/>
  <c r="BY137" i="1" s="1"/>
  <c r="BY141" i="1" s="1"/>
  <c r="AP29" i="1"/>
  <c r="BX133" i="1"/>
  <c r="BX137" i="1" s="1"/>
  <c r="BX141" i="1" s="1"/>
  <c r="AU37" i="1"/>
  <c r="AU88" i="1" l="1"/>
  <c r="X88" i="1" s="1"/>
  <c r="CN27" i="1"/>
  <c r="AU35" i="1"/>
  <c r="C70" i="1"/>
  <c r="AU90" i="1"/>
  <c r="X89" i="1" s="1"/>
  <c r="BZ133" i="1"/>
  <c r="BZ137" i="1" s="1"/>
  <c r="BZ141" i="1" s="1"/>
</calcChain>
</file>

<file path=xl/sharedStrings.xml><?xml version="1.0" encoding="utf-8"?>
<sst xmlns="http://schemas.openxmlformats.org/spreadsheetml/2006/main" count="1126" uniqueCount="246">
  <si>
    <t>DESIGN CALCULATOR</t>
  </si>
  <si>
    <t>NOTES</t>
  </si>
  <si>
    <t>note: Calculations assume both end rows have the max number of chambers per row due to these rows having the least stone storage space.</t>
  </si>
  <si>
    <t>note: Calculations assume chambers will be distributed between rows as evenly as possible.</t>
  </si>
  <si>
    <t>not: F49 is the number of rows</t>
  </si>
  <si>
    <t>layer constraint dimension</t>
  </si>
  <si>
    <t>1st layer</t>
  </si>
  <si>
    <t>2nd layer</t>
  </si>
  <si>
    <t>3rd layer</t>
  </si>
  <si>
    <t>4th layer</t>
  </si>
  <si>
    <r>
      <t xml:space="preserve">do constraints apply?               </t>
    </r>
    <r>
      <rPr>
        <sz val="11"/>
        <rFont val="Calibri"/>
        <family val="2"/>
        <scheme val="minor"/>
      </rPr>
      <t>(yes=1,no=2)</t>
    </r>
  </si>
  <si>
    <t>max/min suggested number of rows for bottom layer</t>
  </si>
  <si>
    <t>bottom layer constraint direction</t>
  </si>
  <si>
    <t>note: F9 is unit type</t>
  </si>
  <si>
    <t>width is 1 length is 2</t>
  </si>
  <si>
    <t>note: F11 is required storage</t>
  </si>
  <si>
    <t>1 row 1 chamber system</t>
  </si>
  <si>
    <t>2 rows 2 chambers, 1 chamber per row</t>
  </si>
  <si>
    <t>1 row 2 chambers</t>
  </si>
  <si>
    <t>MREC 1C/R</t>
  </si>
  <si>
    <t>note: F25 is direction of constraint (W or L)</t>
  </si>
  <si>
    <t>Layer 1 Calculation check</t>
  </si>
  <si>
    <t>chamber length</t>
  </si>
  <si>
    <t>full chamber length</t>
  </si>
  <si>
    <t>single chamber length</t>
  </si>
  <si>
    <t>stone storage</t>
  </si>
  <si>
    <t>note: F27 is dimension of constraint</t>
  </si>
  <si>
    <t>Project Name:</t>
  </si>
  <si>
    <t xml:space="preserve">For more information visit ndspro.com, or if you need help call us at 571-521-9538 </t>
  </si>
  <si>
    <t>(Using Dimension Constraints)</t>
  </si>
  <si>
    <t>Engineer:</t>
  </si>
  <si>
    <t>full chamber volume</t>
  </si>
  <si>
    <t>volume of both chambers</t>
  </si>
  <si>
    <t>Confirming System Calculations</t>
  </si>
  <si>
    <t>width of suggested rows</t>
  </si>
  <si>
    <t>length of sugested number of C per R</t>
  </si>
  <si>
    <t>Location:</t>
  </si>
  <si>
    <t>CLICK HERE   FOR DEIGN HELP OR TO REQUEST A LAYOUT</t>
  </si>
  <si>
    <t>Date:</t>
  </si>
  <si>
    <t>L1</t>
  </si>
  <si>
    <t>End C End R storage volume w/ stone (2x)</t>
  </si>
  <si>
    <t>additional stone</t>
  </si>
  <si>
    <t>total end-row end-chamber volumes</t>
  </si>
  <si>
    <t>Number of chambers</t>
  </si>
  <si>
    <t>stone</t>
  </si>
  <si>
    <t>chamber</t>
  </si>
  <si>
    <t>total</t>
  </si>
  <si>
    <t>Additional stone Storage</t>
  </si>
  <si>
    <t>ENTER SYSTEM PARAMETERS</t>
  </si>
  <si>
    <t>SYSTEM RESULTS</t>
  </si>
  <si>
    <t>total storage</t>
  </si>
  <si>
    <t>total end-row middle-chamber volumes</t>
  </si>
  <si>
    <r>
      <t xml:space="preserve">note: The </t>
    </r>
    <r>
      <rPr>
        <b/>
        <sz val="11"/>
        <rFont val="Calibri"/>
        <family val="2"/>
        <scheme val="minor"/>
      </rPr>
      <t>Above</t>
    </r>
    <r>
      <rPr>
        <sz val="11"/>
        <rFont val="Calibri"/>
        <family val="2"/>
        <scheme val="minor"/>
      </rPr>
      <t xml:space="preserve"> segment is for determining the number of rows/number of chambers per row dependant on W/L constraints. </t>
    </r>
  </si>
  <si>
    <t>Measurement Type</t>
  </si>
  <si>
    <t>Imperial</t>
  </si>
  <si>
    <t>Total Chamber Storage Volume</t>
  </si>
  <si>
    <t>purpose of this area is to discover the minimum and maximum allowable number of rows based on the dimension constraints</t>
  </si>
  <si>
    <t>Input Storage Volume</t>
  </si>
  <si>
    <t>Total Stone Storage Volume</t>
  </si>
  <si>
    <t>L2</t>
  </si>
  <si>
    <t>2 rows 2 chambers 1 chamber per row</t>
  </si>
  <si>
    <t>total middle-row end-chamber volumes</t>
  </si>
  <si>
    <t>Select the Chamber Model</t>
  </si>
  <si>
    <t>SC-18</t>
  </si>
  <si>
    <t>Installed System Storage Volume</t>
  </si>
  <si>
    <t>End C End R storage volume w/ stone</t>
  </si>
  <si>
    <t>Minimum Internal Storage of a Chamber</t>
  </si>
  <si>
    <t>total full middle-row middle-chamber volumes</t>
  </si>
  <si>
    <r>
      <t xml:space="preserve">note: The </t>
    </r>
    <r>
      <rPr>
        <b/>
        <sz val="11"/>
        <rFont val="Calibri"/>
        <family val="2"/>
        <scheme val="minor"/>
      </rPr>
      <t>Above</t>
    </r>
    <r>
      <rPr>
        <sz val="11"/>
        <rFont val="Calibri"/>
        <family val="2"/>
        <scheme val="minor"/>
      </rPr>
      <t xml:space="preserve"> segment is for determining the number of rows based on the number of chambers per row when the constraint is by length.</t>
    </r>
  </si>
  <si>
    <t>Select Design Constraint</t>
  </si>
  <si>
    <t>Width</t>
  </si>
  <si>
    <t>Minimum Installed Storage with stone</t>
  </si>
  <si>
    <t>Required Storage</t>
  </si>
  <si>
    <t>Number of End Rows</t>
  </si>
  <si>
    <t>Number of Middle Rows</t>
  </si>
  <si>
    <t>Volume of ECER*Number of End Rows</t>
  </si>
  <si>
    <t>Volume of ECMR*Number of Middle Rows</t>
  </si>
  <si>
    <t>Total Number of Chambers Required</t>
  </si>
  <si>
    <t>Suggested</t>
  </si>
  <si>
    <t>Try adjusting the number of rows until you are satisfied with the layout.</t>
  </si>
  <si>
    <t>totals</t>
  </si>
  <si>
    <t>L3</t>
  </si>
  <si>
    <t>Chamber Height</t>
  </si>
  <si>
    <t>purpose of this section is to determin the number of chambers per full/partial row using the chosen/default number of rows</t>
  </si>
  <si>
    <t>Max Number of End Chambers per Full Row</t>
  </si>
  <si>
    <t>Max Number of Middle Chambers per Full Row</t>
  </si>
  <si>
    <t>Max number of Chambers per full Row</t>
  </si>
  <si>
    <t>Layer Length</t>
  </si>
  <si>
    <t>Rows/Chambers</t>
  </si>
  <si>
    <t>Row(s) of</t>
  </si>
  <si>
    <t>Chambers</t>
  </si>
  <si>
    <t>Stone Void (Industry Standard is 40%)</t>
  </si>
  <si>
    <t>%</t>
  </si>
  <si>
    <t>Layer Width</t>
  </si>
  <si>
    <t>Actual</t>
  </si>
  <si>
    <t>Layer Depth</t>
  </si>
  <si>
    <t>Layer Installed Storage</t>
  </si>
  <si>
    <t>Volume of full end Row</t>
  </si>
  <si>
    <t>Volume of Full Mid Row</t>
  </si>
  <si>
    <t>Number of full rows</t>
  </si>
  <si>
    <t>Number of full middle rows</t>
  </si>
  <si>
    <t>Number of Rows</t>
  </si>
  <si>
    <t>Number of Chambers per Full Row</t>
  </si>
  <si>
    <t>Desired Number of Layers</t>
  </si>
  <si>
    <t>Total Chambers in Layer</t>
  </si>
  <si>
    <t>Number of Full Rows</t>
  </si>
  <si>
    <t>Are there Rows with more chambers than other rows</t>
  </si>
  <si>
    <t>Total Layer Storage Volume</t>
  </si>
  <si>
    <t>Remaining Volume for Partial Row</t>
  </si>
  <si>
    <t>Number of Partial Row End Chambers</t>
  </si>
  <si>
    <t>Number of Partial Row Middle Chambers</t>
  </si>
  <si>
    <t>Total Number of Chambers per Partial Row</t>
  </si>
  <si>
    <t>L4</t>
  </si>
  <si>
    <t>Length of chamber row</t>
  </si>
  <si>
    <t>Width of all chamber rows</t>
  </si>
  <si>
    <t>Number of SedimenTraps Desired</t>
  </si>
  <si>
    <t>Total Stone Storage</t>
  </si>
  <si>
    <t>Total Chamber Storage</t>
  </si>
  <si>
    <t>Minimum Suggested Number of SedimenTraps (per inflow row)</t>
  </si>
  <si>
    <t>Number of mid Chambers per short row</t>
  </si>
  <si>
    <t>Total number of chambers per short row</t>
  </si>
  <si>
    <t>Volume of end chambers in all Rs by min C per R</t>
  </si>
  <si>
    <t>volume of mid chambers in all Rs by min C per R</t>
  </si>
  <si>
    <t>total volume of all Rs by the min number of chambers per Row</t>
  </si>
  <si>
    <t>remaining volume</t>
  </si>
  <si>
    <t>Do you need impervious liner to restrict infiltration?</t>
  </si>
  <si>
    <t>no</t>
  </si>
  <si>
    <t>Installed Storage of S/E C in MR w/out border</t>
  </si>
  <si>
    <t>border storage in S/E C in MR</t>
  </si>
  <si>
    <t>total chambers</t>
  </si>
  <si>
    <t>Number of Inflow Rows</t>
  </si>
  <si>
    <t>Total #</t>
  </si>
  <si>
    <t>eCeR storage volume area of width-height</t>
  </si>
  <si>
    <t>number of end rows in remaining volume</t>
  </si>
  <si>
    <t>Number of middle rows in remaining volume</t>
  </si>
  <si>
    <t>Do you want to Include the Perimeter Stone Storage when Calculating the number of chambers?</t>
  </si>
  <si>
    <t>yes</t>
  </si>
  <si>
    <t>No rows in this layer are shorter or longer than any other rows.</t>
  </si>
  <si>
    <t>Start and End Chamber</t>
  </si>
  <si>
    <t>Middle Chamber</t>
  </si>
  <si>
    <t>eCeR Storage volume area of length-height</t>
  </si>
  <si>
    <t>max number of rows</t>
  </si>
  <si>
    <t>aka chosen number of rows</t>
  </si>
  <si>
    <t>Chamber</t>
  </si>
  <si>
    <t>end row stone</t>
  </si>
  <si>
    <t>Middle row Stone</t>
  </si>
  <si>
    <t>End row total</t>
  </si>
  <si>
    <t>Middle row Total</t>
  </si>
  <si>
    <t>eCmR storage volume area of width-height</t>
  </si>
  <si>
    <t>number of extra Ch</t>
  </si>
  <si>
    <t>aka number of rows with max number of chambers</t>
  </si>
  <si>
    <r>
      <t xml:space="preserve">Trench depths beyond the range suggested may be achievable.                                                                 For assistance please contact us at </t>
    </r>
    <r>
      <rPr>
        <b/>
        <i/>
        <sz val="12"/>
        <rFont val="Calibri"/>
        <family val="2"/>
        <scheme val="minor"/>
      </rPr>
      <t xml:space="preserve">571-521-9538 </t>
    </r>
  </si>
  <si>
    <t>Total Chamber in Layer</t>
  </si>
  <si>
    <t>eCmR Storage volume area of length-height</t>
  </si>
  <si>
    <t>number of short rows</t>
  </si>
  <si>
    <t>min C per row</t>
  </si>
  <si>
    <t>mCeR storage volume area of width-height</t>
  </si>
  <si>
    <t>max C per row</t>
  </si>
  <si>
    <t>mCeR storage volume area of length-height</t>
  </si>
  <si>
    <t>Inches</t>
  </si>
  <si>
    <t>spatial volume of C and stone: Storage V/c.in.</t>
  </si>
  <si>
    <t>mCmR storage volume area of width-height</t>
  </si>
  <si>
    <t>mCmR storage volume area of length-height</t>
  </si>
  <si>
    <t>Layer 2 Calculation check</t>
  </si>
  <si>
    <t>Minimum Trench Length</t>
  </si>
  <si>
    <t>Minimum Trench Width</t>
  </si>
  <si>
    <t>System Depth</t>
  </si>
  <si>
    <t>Trench Depth</t>
  </si>
  <si>
    <t>Minimum Bed Size Required</t>
  </si>
  <si>
    <t>OTHER SYSTEM COMPONENTS</t>
  </si>
  <si>
    <t xml:space="preserve">   3/4" - 2" crushed, washed, ANGULAR stone.</t>
  </si>
  <si>
    <t xml:space="preserve"> Minimum Amount of Stone Required</t>
  </si>
  <si>
    <r>
      <t xml:space="preserve">(3/4" - 2" crushed, washed, </t>
    </r>
    <r>
      <rPr>
        <b/>
        <sz val="10"/>
        <rFont val="Calibri"/>
        <family val="2"/>
        <scheme val="minor"/>
      </rPr>
      <t>ANGULAR</t>
    </r>
    <r>
      <rPr>
        <sz val="10"/>
        <rFont val="Calibri"/>
        <family val="2"/>
        <scheme val="minor"/>
      </rPr>
      <t xml:space="preserve"> stone or concrete only)</t>
    </r>
  </si>
  <si>
    <t>Volume of Excavation (not including fill)</t>
  </si>
  <si>
    <t>Non-woven Filter Fabric Required</t>
  </si>
  <si>
    <t>Stabilization Fabric</t>
  </si>
  <si>
    <t>Pieces</t>
  </si>
  <si>
    <t>Impervious Liner</t>
  </si>
  <si>
    <t>number of full rows</t>
  </si>
  <si>
    <t>number of full middle rows</t>
  </si>
  <si>
    <t>Number of chambers in partial row</t>
  </si>
  <si>
    <t>REV 07 19 23 BT</t>
  </si>
  <si>
    <t>SedimenTrap</t>
  </si>
  <si>
    <t>Total System Dimensions</t>
  </si>
  <si>
    <t>Number of Sedimentraps (aka number of short rows)</t>
  </si>
  <si>
    <t>number of chambers in short rows</t>
  </si>
  <si>
    <t>number of middle chambers in short row</t>
  </si>
  <si>
    <t>Length</t>
  </si>
  <si>
    <t>Depth</t>
  </si>
  <si>
    <t>number of sedimentraps</t>
  </si>
  <si>
    <t>start/end</t>
  </si>
  <si>
    <t>middle</t>
  </si>
  <si>
    <t>number of R with min C</t>
  </si>
  <si>
    <t>total volume</t>
  </si>
  <si>
    <t>min stone below</t>
  </si>
  <si>
    <t xml:space="preserve">are there more than 15 rows </t>
  </si>
  <si>
    <t>aka, is the inflow row above greater than 125ft</t>
  </si>
  <si>
    <t>resulting number of sedimentraps</t>
  </si>
  <si>
    <t>are there less than 4 R</t>
  </si>
  <si>
    <t>aka are there less that 4 chambers in the inflow row above</t>
  </si>
  <si>
    <t>min stone above</t>
  </si>
  <si>
    <t>max stone above</t>
  </si>
  <si>
    <t>min average cover</t>
  </si>
  <si>
    <t>max average cover</t>
  </si>
  <si>
    <t>space between layers</t>
  </si>
  <si>
    <t>Layer 3 Calculation check</t>
  </si>
  <si>
    <t>space between rows</t>
  </si>
  <si>
    <t>system spatial volume</t>
  </si>
  <si>
    <t>chambers internal volume</t>
  </si>
  <si>
    <t>stone spatial volume</t>
  </si>
  <si>
    <t>1 layer</t>
  </si>
  <si>
    <t>stone below min</t>
  </si>
  <si>
    <t>2 layers</t>
  </si>
  <si>
    <t>stone below max</t>
  </si>
  <si>
    <t>layer 2</t>
  </si>
  <si>
    <t>total layers</t>
  </si>
  <si>
    <t>cover min</t>
  </si>
  <si>
    <t>cover max</t>
  </si>
  <si>
    <t>3 layers</t>
  </si>
  <si>
    <t xml:space="preserve">            </t>
  </si>
  <si>
    <t>layer 3</t>
  </si>
  <si>
    <t>space between layer</t>
  </si>
  <si>
    <t>L1 min</t>
  </si>
  <si>
    <t>total middle-row middle-chamber volumes</t>
  </si>
  <si>
    <t>max</t>
  </si>
  <si>
    <t>L2 min</t>
  </si>
  <si>
    <t>Chosen Number of Rows</t>
  </si>
  <si>
    <t>L3 min</t>
  </si>
  <si>
    <t>Metric</t>
  </si>
  <si>
    <t>SC-34E</t>
  </si>
  <si>
    <t>Total Layer Storage Volume (no perimeter)</t>
  </si>
  <si>
    <t>SC-44</t>
  </si>
  <si>
    <t>Volume</t>
  </si>
  <si>
    <t>number of rows</t>
  </si>
  <si>
    <t>number of chambers per row</t>
  </si>
  <si>
    <t>Height (in)</t>
  </si>
  <si>
    <t>Width (in)</t>
  </si>
  <si>
    <t>Installed Length (in)</t>
  </si>
  <si>
    <t>Storage Volume (ft²)</t>
  </si>
  <si>
    <t>Layer 4 Calculation check</t>
  </si>
  <si>
    <t>Height (mm)</t>
  </si>
  <si>
    <t>Width (mm)</t>
  </si>
  <si>
    <t>Installed Length (mm)</t>
  </si>
  <si>
    <t>Storage Volume (m²)</t>
  </si>
  <si>
    <t>Chosen number of rows</t>
  </si>
  <si>
    <t>IF(H15="Imperial",             (((((BY5+H55)*(BX63+H55+(H45/2))*BY61)/1728)-BY7)*(H33/100)),                    (((((BY5+H55)*(BX63+H55+(H45/2))*BY61)/1000000000)-BY7)*(H33/100)))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</si>
</sst>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;;;"/>
    <numFmt numFmtId="165" formatCode="0_);\(0\)"/>
    <numFmt numFmtId="166" formatCode="_(* #,##0.0_);_(* \(#,##0.0\);_(* &quot;-&quot;??_);_(@_)"/>
    <numFmt numFmtId="167" formatCode="_(* #,##0_);_(* \(#,##0\);_(* &quot;-&quot;??_);_(@_)"/>
    <numFmt numFmtId="168" formatCode="0.000"/>
  </numFmts>
  <fonts count="5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u/>
      <sz val="11"/>
      <name val="Calibri"/>
      <family val="2"/>
      <scheme val="minor"/>
    </font>
    <font>
      <b/>
      <u/>
      <sz val="10"/>
      <name val="Calibri"/>
      <family val="2"/>
      <scheme val="minor"/>
    </font>
    <font>
      <b/>
      <sz val="18"/>
      <name val="Calibri"/>
      <family val="2"/>
      <scheme val="minor"/>
    </font>
    <font>
      <u/>
      <sz val="10"/>
      <name val="Calibri"/>
      <family val="2"/>
      <scheme val="minor"/>
    </font>
    <font>
      <sz val="8"/>
      <name val="Calibri"/>
      <family val="2"/>
    </font>
    <font>
      <b/>
      <sz val="20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12"/>
      <name val="Calibri"/>
      <family val="2"/>
      <scheme val="minor"/>
    </font>
    <font>
      <i/>
      <sz val="10"/>
      <name val="Calibri"/>
      <family val="2"/>
      <scheme val="minor"/>
    </font>
    <font>
      <u/>
      <sz val="8.25"/>
      <color theme="10"/>
      <name val="Calibri"/>
      <family val="2"/>
    </font>
    <font>
      <i/>
      <sz val="12"/>
      <name val="Calibri"/>
      <family val="2"/>
      <scheme val="minor"/>
    </font>
    <font>
      <b/>
      <i/>
      <sz val="12"/>
      <name val="Calibri"/>
      <family val="2"/>
      <scheme val="minor"/>
    </font>
    <font>
      <sz val="8.25"/>
      <name val="Webdings"/>
      <family val="1"/>
      <charset val="2"/>
    </font>
    <font>
      <i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i/>
      <sz val="8"/>
      <name val="Calibri"/>
      <family val="2"/>
      <scheme val="minor"/>
    </font>
    <font>
      <sz val="11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b/>
      <sz val="12"/>
      <color theme="0" tint="-0.34998626667073579"/>
      <name val="Calibri"/>
      <family val="2"/>
      <scheme val="minor"/>
    </font>
    <font>
      <b/>
      <sz val="14"/>
      <color theme="0" tint="-0.34998626667073579"/>
      <name val="Calibri"/>
      <family val="2"/>
      <scheme val="minor"/>
    </font>
    <font>
      <b/>
      <i/>
      <sz val="11"/>
      <color theme="0" tint="-0.34998626667073579"/>
      <name val="Calibri"/>
      <family val="2"/>
      <scheme val="minor"/>
    </font>
    <font>
      <b/>
      <sz val="11"/>
      <color theme="0" tint="-0.34998626667073579"/>
      <name val="Calibri"/>
      <family val="2"/>
      <scheme val="minor"/>
    </font>
    <font>
      <i/>
      <sz val="11"/>
      <color theme="0" tint="-0.34998626667073579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4"/>
      <color theme="0"/>
      <name val="Calibri"/>
      <family val="2"/>
      <scheme val="minor"/>
    </font>
    <font>
      <i/>
      <sz val="12"/>
      <color theme="3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 tint="-4.9989318521683403E-2"/>
      <name val="Calibri"/>
      <family val="2"/>
      <scheme val="minor"/>
    </font>
    <font>
      <sz val="12"/>
      <color theme="0" tint="-4.9989318521683403E-2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8"/>
      <color theme="0"/>
      <name val="Calibri"/>
      <family val="2"/>
    </font>
    <font>
      <sz val="11"/>
      <color theme="0"/>
      <name val="Calibri"/>
      <family val="2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4"/>
      <color theme="4" tint="-0.499984740745262"/>
      <name val="Calibri"/>
      <family val="2"/>
      <scheme val="minor"/>
    </font>
    <font>
      <b/>
      <sz val="28"/>
      <color theme="4" tint="-0.499984740745262"/>
      <name val="Calibri"/>
      <family val="2"/>
      <scheme val="minor"/>
    </font>
    <font>
      <b/>
      <sz val="36"/>
      <color theme="4" tint="-0.499984740745262"/>
      <name val="Calibri"/>
      <family val="2"/>
      <scheme val="minor"/>
    </font>
    <font>
      <sz val="11"/>
      <color rgb="FFFF6611"/>
      <name val="Calibri"/>
      <family val="2"/>
      <scheme val="minor"/>
    </font>
    <font>
      <i/>
      <sz val="9"/>
      <name val="Calibri"/>
      <family val="2"/>
      <scheme val="minor"/>
    </font>
    <font>
      <i/>
      <sz val="16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b/>
      <sz val="16"/>
      <color rgb="FFFF6611"/>
      <name val="Calibri"/>
      <family val="2"/>
      <scheme val="minor"/>
    </font>
    <font>
      <sz val="11"/>
      <color theme="2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indexed="64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indexed="64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indexed="64"/>
      </right>
      <top/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</cellStyleXfs>
  <cellXfs count="648">
    <xf numFmtId="0" fontId="0" fillId="0" borderId="0" xfId="0"/>
    <xf numFmtId="0" fontId="6" fillId="0" borderId="0" xfId="0" applyFont="1" applyAlignment="1" applyProtection="1">
      <alignment vertical="center" wrapText="1"/>
      <protection hidden="1"/>
    </xf>
    <xf numFmtId="0" fontId="10" fillId="0" borderId="0" xfId="0" applyFont="1" applyAlignment="1" applyProtection="1">
      <alignment vertical="center" wrapText="1"/>
      <protection hidden="1"/>
    </xf>
    <xf numFmtId="0" fontId="3" fillId="0" borderId="0" xfId="0" applyFont="1" applyAlignment="1" applyProtection="1">
      <alignment wrapText="1"/>
      <protection hidden="1"/>
    </xf>
    <xf numFmtId="0" fontId="9" fillId="0" borderId="0" xfId="0" applyFont="1" applyAlignment="1" applyProtection="1">
      <alignment vertical="center"/>
      <protection hidden="1"/>
    </xf>
    <xf numFmtId="0" fontId="9" fillId="0" borderId="0" xfId="0" applyFont="1" applyAlignment="1" applyProtection="1">
      <alignment vertical="center" wrapText="1"/>
      <protection hidden="1"/>
    </xf>
    <xf numFmtId="0" fontId="5" fillId="0" borderId="0" xfId="0" applyFont="1" applyAlignment="1" applyProtection="1">
      <alignment vertical="center" wrapText="1"/>
      <protection hidden="1"/>
    </xf>
    <xf numFmtId="0" fontId="2" fillId="0" borderId="0" xfId="0" applyFont="1" applyAlignment="1" applyProtection="1">
      <alignment vertical="center"/>
      <protection hidden="1"/>
    </xf>
    <xf numFmtId="0" fontId="2" fillId="0" borderId="0" xfId="0" applyFont="1" applyProtection="1">
      <protection hidden="1"/>
    </xf>
    <xf numFmtId="0" fontId="2" fillId="0" borderId="0" xfId="0" applyFont="1" applyAlignment="1" applyProtection="1">
      <alignment vertical="center" wrapText="1"/>
      <protection hidden="1"/>
    </xf>
    <xf numFmtId="0" fontId="6" fillId="0" borderId="0" xfId="0" applyFont="1" applyAlignment="1" applyProtection="1">
      <alignment horizontal="center" wrapText="1"/>
      <protection hidden="1"/>
    </xf>
    <xf numFmtId="0" fontId="3" fillId="0" borderId="0" xfId="0" applyFont="1" applyAlignment="1" applyProtection="1">
      <alignment horizontal="center"/>
      <protection hidden="1"/>
    </xf>
    <xf numFmtId="0" fontId="4" fillId="0" borderId="0" xfId="0" applyFont="1" applyAlignment="1" applyProtection="1">
      <alignment vertical="center" wrapText="1"/>
      <protection hidden="1"/>
    </xf>
    <xf numFmtId="0" fontId="2" fillId="0" borderId="0" xfId="0" applyFont="1" applyAlignment="1" applyProtection="1">
      <alignment horizontal="left"/>
      <protection hidden="1"/>
    </xf>
    <xf numFmtId="0" fontId="12" fillId="0" borderId="0" xfId="0" applyFont="1" applyAlignment="1" applyProtection="1">
      <alignment horizontal="left" vertical="top" wrapText="1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7" fillId="0" borderId="0" xfId="0" applyFont="1" applyAlignment="1" applyProtection="1">
      <alignment vertical="center" wrapText="1"/>
      <protection hidden="1"/>
    </xf>
    <xf numFmtId="0" fontId="5" fillId="0" borderId="0" xfId="0" applyFont="1" applyAlignment="1" applyProtection="1">
      <alignment wrapText="1"/>
      <protection hidden="1"/>
    </xf>
    <xf numFmtId="0" fontId="2" fillId="0" borderId="0" xfId="0" applyFont="1" applyAlignment="1" applyProtection="1">
      <alignment wrapText="1"/>
      <protection hidden="1"/>
    </xf>
    <xf numFmtId="0" fontId="2" fillId="0" borderId="0" xfId="1" applyNumberFormat="1" applyFont="1" applyFill="1" applyBorder="1" applyAlignment="1" applyProtection="1">
      <alignment vertical="center"/>
      <protection hidden="1"/>
    </xf>
    <xf numFmtId="0" fontId="7" fillId="0" borderId="0" xfId="0" applyFont="1" applyAlignment="1" applyProtection="1">
      <alignment wrapText="1"/>
      <protection hidden="1"/>
    </xf>
    <xf numFmtId="0" fontId="14" fillId="0" borderId="0" xfId="0" applyFont="1" applyAlignment="1" applyProtection="1">
      <alignment vertical="center"/>
      <protection hidden="1"/>
    </xf>
    <xf numFmtId="0" fontId="2" fillId="0" borderId="0" xfId="0" applyFont="1" applyAlignment="1" applyProtection="1">
      <alignment horizontal="right"/>
      <protection hidden="1"/>
    </xf>
    <xf numFmtId="0" fontId="2" fillId="3" borderId="0" xfId="0" applyFont="1" applyFill="1" applyProtection="1">
      <protection hidden="1"/>
    </xf>
    <xf numFmtId="0" fontId="2" fillId="3" borderId="3" xfId="0" applyFont="1" applyFill="1" applyBorder="1" applyAlignment="1" applyProtection="1">
      <alignment horizontal="right"/>
      <protection hidden="1"/>
    </xf>
    <xf numFmtId="0" fontId="14" fillId="0" borderId="0" xfId="0" applyFont="1" applyProtection="1">
      <protection hidden="1"/>
    </xf>
    <xf numFmtId="0" fontId="14" fillId="0" borderId="0" xfId="0" applyFont="1" applyAlignment="1" applyProtection="1">
      <alignment horizontal="center"/>
      <protection hidden="1"/>
    </xf>
    <xf numFmtId="0" fontId="4" fillId="0" borderId="0" xfId="0" applyFont="1" applyProtection="1">
      <protection hidden="1"/>
    </xf>
    <xf numFmtId="0" fontId="2" fillId="3" borderId="11" xfId="0" applyFont="1" applyFill="1" applyBorder="1" applyProtection="1">
      <protection hidden="1"/>
    </xf>
    <xf numFmtId="0" fontId="2" fillId="3" borderId="12" xfId="0" applyFont="1" applyFill="1" applyBorder="1" applyProtection="1">
      <protection hidden="1"/>
    </xf>
    <xf numFmtId="0" fontId="15" fillId="3" borderId="10" xfId="0" applyFont="1" applyFill="1" applyBorder="1" applyAlignment="1" applyProtection="1">
      <alignment vertical="center"/>
      <protection hidden="1"/>
    </xf>
    <xf numFmtId="0" fontId="15" fillId="3" borderId="11" xfId="0" applyFont="1" applyFill="1" applyBorder="1" applyAlignment="1" applyProtection="1">
      <alignment vertical="center"/>
      <protection hidden="1"/>
    </xf>
    <xf numFmtId="0" fontId="15" fillId="3" borderId="12" xfId="0" applyFont="1" applyFill="1" applyBorder="1" applyAlignment="1" applyProtection="1">
      <alignment vertical="center"/>
      <protection hidden="1"/>
    </xf>
    <xf numFmtId="0" fontId="2" fillId="3" borderId="2" xfId="0" applyFont="1" applyFill="1" applyBorder="1" applyProtection="1">
      <protection hidden="1"/>
    </xf>
    <xf numFmtId="0" fontId="15" fillId="3" borderId="3" xfId="0" applyFont="1" applyFill="1" applyBorder="1" applyAlignment="1" applyProtection="1">
      <alignment vertical="center"/>
      <protection hidden="1"/>
    </xf>
    <xf numFmtId="0" fontId="3" fillId="3" borderId="0" xfId="0" applyFont="1" applyFill="1" applyProtection="1">
      <protection hidden="1"/>
    </xf>
    <xf numFmtId="0" fontId="3" fillId="3" borderId="0" xfId="0" applyFont="1" applyFill="1" applyAlignment="1" applyProtection="1">
      <alignment horizontal="right"/>
      <protection hidden="1"/>
    </xf>
    <xf numFmtId="0" fontId="2" fillId="3" borderId="0" xfId="0" applyFont="1" applyFill="1" applyAlignment="1" applyProtection="1">
      <alignment vertical="center"/>
      <protection hidden="1"/>
    </xf>
    <xf numFmtId="0" fontId="2" fillId="3" borderId="0" xfId="0" applyFont="1" applyFill="1" applyAlignment="1" applyProtection="1">
      <alignment horizontal="left" vertical="center"/>
      <protection hidden="1"/>
    </xf>
    <xf numFmtId="0" fontId="15" fillId="3" borderId="0" xfId="0" applyFont="1" applyFill="1" applyAlignment="1" applyProtection="1">
      <alignment vertical="center"/>
      <protection hidden="1"/>
    </xf>
    <xf numFmtId="0" fontId="15" fillId="3" borderId="2" xfId="0" applyFont="1" applyFill="1" applyBorder="1" applyAlignment="1" applyProtection="1">
      <alignment vertical="center"/>
      <protection hidden="1"/>
    </xf>
    <xf numFmtId="0" fontId="2" fillId="3" borderId="0" xfId="0" applyFont="1" applyFill="1" applyAlignment="1" applyProtection="1">
      <alignment horizontal="left"/>
      <protection hidden="1"/>
    </xf>
    <xf numFmtId="0" fontId="2" fillId="3" borderId="3" xfId="0" applyFont="1" applyFill="1" applyBorder="1" applyProtection="1">
      <protection hidden="1"/>
    </xf>
    <xf numFmtId="0" fontId="3" fillId="3" borderId="0" xfId="0" applyFont="1" applyFill="1" applyAlignment="1" applyProtection="1">
      <alignment vertical="top"/>
      <protection hidden="1"/>
    </xf>
    <xf numFmtId="0" fontId="2" fillId="3" borderId="0" xfId="0" applyFont="1" applyFill="1" applyAlignment="1" applyProtection="1">
      <alignment vertical="top"/>
      <protection hidden="1"/>
    </xf>
    <xf numFmtId="0" fontId="3" fillId="3" borderId="0" xfId="0" applyFont="1" applyFill="1" applyAlignment="1" applyProtection="1">
      <alignment horizontal="right" vertical="top"/>
      <protection hidden="1"/>
    </xf>
    <xf numFmtId="0" fontId="16" fillId="3" borderId="0" xfId="1" applyNumberFormat="1" applyFont="1" applyFill="1" applyBorder="1" applyAlignment="1" applyProtection="1">
      <alignment vertical="center" wrapText="1"/>
      <protection hidden="1"/>
    </xf>
    <xf numFmtId="0" fontId="20" fillId="3" borderId="0" xfId="0" applyFont="1" applyFill="1" applyAlignment="1" applyProtection="1">
      <alignment vertical="top" wrapText="1"/>
      <protection hidden="1"/>
    </xf>
    <xf numFmtId="0" fontId="20" fillId="3" borderId="0" xfId="0" applyFont="1" applyFill="1" applyAlignment="1" applyProtection="1">
      <alignment horizontal="left" vertical="top" wrapText="1"/>
      <protection hidden="1"/>
    </xf>
    <xf numFmtId="0" fontId="4" fillId="3" borderId="0" xfId="0" applyFont="1" applyFill="1" applyAlignment="1" applyProtection="1">
      <alignment horizontal="left" vertical="center"/>
      <protection hidden="1"/>
    </xf>
    <xf numFmtId="0" fontId="23" fillId="3" borderId="0" xfId="0" applyFont="1" applyFill="1" applyAlignment="1" applyProtection="1">
      <alignment horizontal="center"/>
      <protection hidden="1"/>
    </xf>
    <xf numFmtId="0" fontId="14" fillId="3" borderId="0" xfId="0" applyFont="1" applyFill="1" applyAlignment="1" applyProtection="1">
      <alignment horizontal="left" vertical="center"/>
      <protection hidden="1"/>
    </xf>
    <xf numFmtId="0" fontId="14" fillId="3" borderId="2" xfId="0" applyFont="1" applyFill="1" applyBorder="1" applyAlignment="1" applyProtection="1">
      <alignment vertical="center"/>
      <protection hidden="1"/>
    </xf>
    <xf numFmtId="0" fontId="6" fillId="3" borderId="3" xfId="0" applyFont="1" applyFill="1" applyBorder="1" applyAlignment="1" applyProtection="1">
      <alignment vertical="top" wrapText="1"/>
      <protection hidden="1"/>
    </xf>
    <xf numFmtId="0" fontId="22" fillId="3" borderId="0" xfId="0" applyFont="1" applyFill="1" applyAlignment="1" applyProtection="1">
      <alignment vertical="center" wrapText="1"/>
      <protection hidden="1"/>
    </xf>
    <xf numFmtId="0" fontId="22" fillId="3" borderId="2" xfId="0" applyFont="1" applyFill="1" applyBorder="1" applyAlignment="1" applyProtection="1">
      <alignment vertical="center" wrapText="1"/>
      <protection hidden="1"/>
    </xf>
    <xf numFmtId="0" fontId="22" fillId="3" borderId="3" xfId="0" applyFont="1" applyFill="1" applyBorder="1" applyAlignment="1" applyProtection="1">
      <alignment vertical="center" wrapText="1"/>
      <protection hidden="1"/>
    </xf>
    <xf numFmtId="0" fontId="2" fillId="3" borderId="4" xfId="0" applyFont="1" applyFill="1" applyBorder="1" applyProtection="1">
      <protection hidden="1"/>
    </xf>
    <xf numFmtId="0" fontId="2" fillId="3" borderId="1" xfId="0" applyFont="1" applyFill="1" applyBorder="1" applyProtection="1">
      <protection hidden="1"/>
    </xf>
    <xf numFmtId="0" fontId="2" fillId="3" borderId="5" xfId="0" applyFont="1" applyFill="1" applyBorder="1" applyProtection="1">
      <protection hidden="1"/>
    </xf>
    <xf numFmtId="0" fontId="24" fillId="3" borderId="3" xfId="0" applyFont="1" applyFill="1" applyBorder="1" applyAlignment="1" applyProtection="1">
      <alignment horizontal="center"/>
      <protection hidden="1"/>
    </xf>
    <xf numFmtId="0" fontId="24" fillId="3" borderId="0" xfId="0" applyFont="1" applyFill="1" applyAlignment="1" applyProtection="1">
      <alignment horizontal="center"/>
      <protection hidden="1"/>
    </xf>
    <xf numFmtId="0" fontId="24" fillId="3" borderId="2" xfId="0" applyFont="1" applyFill="1" applyBorder="1" applyAlignment="1" applyProtection="1">
      <alignment horizontal="center"/>
      <protection hidden="1"/>
    </xf>
    <xf numFmtId="0" fontId="24" fillId="3" borderId="4" xfId="0" applyFont="1" applyFill="1" applyBorder="1" applyAlignment="1" applyProtection="1">
      <alignment horizontal="center"/>
      <protection hidden="1"/>
    </xf>
    <xf numFmtId="0" fontId="24" fillId="3" borderId="1" xfId="0" applyFont="1" applyFill="1" applyBorder="1" applyAlignment="1" applyProtection="1">
      <alignment horizontal="center"/>
      <protection hidden="1"/>
    </xf>
    <xf numFmtId="0" fontId="24" fillId="3" borderId="5" xfId="0" applyFont="1" applyFill="1" applyBorder="1" applyAlignment="1" applyProtection="1">
      <alignment horizont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4" fillId="3" borderId="0" xfId="0" applyFont="1" applyFill="1" applyAlignment="1" applyProtection="1">
      <alignment horizontal="left" vertical="top"/>
      <protection hidden="1"/>
    </xf>
    <xf numFmtId="164" fontId="25" fillId="3" borderId="0" xfId="0" applyNumberFormat="1" applyFont="1" applyFill="1" applyProtection="1">
      <protection hidden="1"/>
    </xf>
    <xf numFmtId="164" fontId="26" fillId="3" borderId="2" xfId="0" applyNumberFormat="1" applyFont="1" applyFill="1" applyBorder="1" applyAlignment="1" applyProtection="1">
      <alignment vertical="center"/>
      <protection hidden="1"/>
    </xf>
    <xf numFmtId="164" fontId="26" fillId="3" borderId="0" xfId="0" applyNumberFormat="1" applyFont="1" applyFill="1" applyAlignment="1" applyProtection="1">
      <alignment horizontal="left" vertical="center"/>
      <protection hidden="1"/>
    </xf>
    <xf numFmtId="164" fontId="25" fillId="3" borderId="2" xfId="0" applyNumberFormat="1" applyFont="1" applyFill="1" applyBorder="1" applyProtection="1">
      <protection hidden="1"/>
    </xf>
    <xf numFmtId="0" fontId="27" fillId="3" borderId="3" xfId="0" applyFont="1" applyFill="1" applyBorder="1" applyProtection="1">
      <protection hidden="1"/>
    </xf>
    <xf numFmtId="0" fontId="27" fillId="3" borderId="0" xfId="0" applyFont="1" applyFill="1" applyProtection="1">
      <protection hidden="1"/>
    </xf>
    <xf numFmtId="0" fontId="28" fillId="3" borderId="0" xfId="0" applyFont="1" applyFill="1" applyAlignment="1" applyProtection="1">
      <alignment horizontal="right"/>
      <protection hidden="1"/>
    </xf>
    <xf numFmtId="0" fontId="27" fillId="3" borderId="0" xfId="0" applyFont="1" applyFill="1" applyAlignment="1" applyProtection="1">
      <alignment vertical="center"/>
      <protection hidden="1"/>
    </xf>
    <xf numFmtId="0" fontId="27" fillId="3" borderId="0" xfId="0" applyFont="1" applyFill="1" applyAlignment="1" applyProtection="1">
      <alignment horizontal="left" vertical="center"/>
      <protection hidden="1"/>
    </xf>
    <xf numFmtId="0" fontId="27" fillId="3" borderId="2" xfId="0" applyFont="1" applyFill="1" applyBorder="1" applyProtection="1">
      <protection hidden="1"/>
    </xf>
    <xf numFmtId="0" fontId="31" fillId="3" borderId="0" xfId="0" applyFont="1" applyFill="1" applyProtection="1">
      <protection hidden="1"/>
    </xf>
    <xf numFmtId="0" fontId="27" fillId="3" borderId="0" xfId="0" applyFont="1" applyFill="1" applyAlignment="1" applyProtection="1">
      <alignment horizontal="left"/>
      <protection hidden="1"/>
    </xf>
    <xf numFmtId="0" fontId="30" fillId="3" borderId="0" xfId="0" applyFont="1" applyFill="1" applyAlignment="1" applyProtection="1">
      <alignment horizontal="center"/>
      <protection hidden="1"/>
    </xf>
    <xf numFmtId="0" fontId="31" fillId="3" borderId="0" xfId="0" applyFont="1" applyFill="1" applyAlignment="1" applyProtection="1">
      <alignment vertical="center"/>
      <protection hidden="1"/>
    </xf>
    <xf numFmtId="0" fontId="31" fillId="3" borderId="0" xfId="0" applyFont="1" applyFill="1" applyAlignment="1" applyProtection="1">
      <alignment vertical="top"/>
      <protection hidden="1"/>
    </xf>
    <xf numFmtId="0" fontId="27" fillId="3" borderId="0" xfId="0" applyFont="1" applyFill="1" applyAlignment="1" applyProtection="1">
      <alignment horizontal="center"/>
      <protection hidden="1"/>
    </xf>
    <xf numFmtId="0" fontId="27" fillId="3" borderId="13" xfId="0" applyFont="1" applyFill="1" applyBorder="1" applyProtection="1">
      <protection hidden="1"/>
    </xf>
    <xf numFmtId="0" fontId="28" fillId="3" borderId="13" xfId="0" applyFont="1" applyFill="1" applyBorder="1" applyAlignment="1" applyProtection="1">
      <alignment horizontal="right"/>
      <protection hidden="1"/>
    </xf>
    <xf numFmtId="0" fontId="27" fillId="3" borderId="0" xfId="0" applyFont="1" applyFill="1" applyAlignment="1" applyProtection="1">
      <alignment horizontal="left" vertical="top"/>
      <protection hidden="1"/>
    </xf>
    <xf numFmtId="0" fontId="27" fillId="3" borderId="0" xfId="0" applyFont="1" applyFill="1" applyAlignment="1" applyProtection="1">
      <alignment vertical="top"/>
      <protection hidden="1"/>
    </xf>
    <xf numFmtId="0" fontId="33" fillId="3" borderId="3" xfId="0" applyFont="1" applyFill="1" applyBorder="1" applyProtection="1">
      <protection hidden="1"/>
    </xf>
    <xf numFmtId="0" fontId="33" fillId="3" borderId="0" xfId="0" applyFont="1" applyFill="1" applyProtection="1">
      <protection hidden="1"/>
    </xf>
    <xf numFmtId="0" fontId="33" fillId="3" borderId="2" xfId="0" applyFont="1" applyFill="1" applyBorder="1" applyProtection="1">
      <protection hidden="1"/>
    </xf>
    <xf numFmtId="164" fontId="25" fillId="3" borderId="0" xfId="0" applyNumberFormat="1" applyFont="1" applyFill="1" applyAlignment="1" applyProtection="1">
      <alignment horizontal="left"/>
      <protection hidden="1"/>
    </xf>
    <xf numFmtId="164" fontId="38" fillId="0" borderId="0" xfId="0" applyNumberFormat="1" applyFont="1" applyProtection="1">
      <protection hidden="1"/>
    </xf>
    <xf numFmtId="164" fontId="41" fillId="0" borderId="0" xfId="0" applyNumberFormat="1" applyFont="1" applyAlignment="1" applyProtection="1">
      <alignment horizontal="center" vertical="center"/>
      <protection hidden="1"/>
    </xf>
    <xf numFmtId="164" fontId="42" fillId="0" borderId="0" xfId="0" applyNumberFormat="1" applyFont="1" applyAlignment="1" applyProtection="1">
      <alignment vertical="top" wrapText="1"/>
      <protection hidden="1"/>
    </xf>
    <xf numFmtId="0" fontId="2" fillId="0" borderId="0" xfId="0" applyFont="1" applyAlignment="1" applyProtection="1">
      <alignment horizontal="center" wrapText="1"/>
      <protection hidden="1"/>
    </xf>
    <xf numFmtId="2" fontId="27" fillId="3" borderId="0" xfId="0" applyNumberFormat="1" applyFont="1" applyFill="1" applyAlignment="1" applyProtection="1">
      <alignment horizontal="right" vertical="top" wrapText="1"/>
      <protection hidden="1"/>
    </xf>
    <xf numFmtId="0" fontId="13" fillId="0" borderId="0" xfId="0" applyFont="1" applyAlignment="1" applyProtection="1">
      <alignment vertical="center"/>
      <protection hidden="1"/>
    </xf>
    <xf numFmtId="0" fontId="4" fillId="0" borderId="0" xfId="0" applyFont="1" applyAlignment="1" applyProtection="1">
      <alignment horizontal="center"/>
      <protection hidden="1"/>
    </xf>
    <xf numFmtId="0" fontId="4" fillId="0" borderId="0" xfId="0" applyFont="1" applyAlignment="1" applyProtection="1">
      <alignment wrapText="1"/>
      <protection hidden="1"/>
    </xf>
    <xf numFmtId="0" fontId="15" fillId="0" borderId="0" xfId="0" applyFont="1" applyAlignment="1" applyProtection="1">
      <alignment wrapText="1"/>
      <protection hidden="1"/>
    </xf>
    <xf numFmtId="0" fontId="5" fillId="0" borderId="0" xfId="0" applyFont="1" applyProtection="1">
      <protection hidden="1"/>
    </xf>
    <xf numFmtId="0" fontId="5" fillId="0" borderId="0" xfId="0" applyFont="1" applyAlignment="1" applyProtection="1">
      <alignment horizontal="center"/>
      <protection hidden="1"/>
    </xf>
    <xf numFmtId="0" fontId="16" fillId="0" borderId="0" xfId="0" applyFont="1" applyAlignment="1" applyProtection="1">
      <alignment vertical="center"/>
      <protection hidden="1"/>
    </xf>
    <xf numFmtId="0" fontId="6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46" fillId="0" borderId="0" xfId="0" applyFont="1" applyAlignment="1" applyProtection="1">
      <alignment vertical="center" wrapText="1"/>
      <protection hidden="1"/>
    </xf>
    <xf numFmtId="0" fontId="2" fillId="0" borderId="0" xfId="1" applyNumberFormat="1" applyFont="1" applyFill="1" applyBorder="1" applyAlignment="1" applyProtection="1">
      <alignment wrapText="1"/>
      <protection hidden="1"/>
    </xf>
    <xf numFmtId="0" fontId="7" fillId="0" borderId="0" xfId="0" applyFont="1" applyAlignment="1" applyProtection="1">
      <alignment horizontal="center" vertical="center" wrapText="1"/>
      <protection hidden="1"/>
    </xf>
    <xf numFmtId="0" fontId="4" fillId="0" borderId="0" xfId="0" applyFont="1" applyAlignment="1" applyProtection="1">
      <alignment vertical="center"/>
      <protection hidden="1"/>
    </xf>
    <xf numFmtId="0" fontId="2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0" xfId="1" applyNumberFormat="1" applyFont="1" applyFill="1" applyBorder="1" applyAlignment="1" applyProtection="1">
      <alignment vertical="center" wrapText="1"/>
      <protection hidden="1"/>
    </xf>
    <xf numFmtId="0" fontId="46" fillId="0" borderId="0" xfId="0" applyFont="1" applyAlignment="1" applyProtection="1">
      <alignment horizontal="center" vertical="center" wrapText="1"/>
      <protection hidden="1"/>
    </xf>
    <xf numFmtId="0" fontId="4" fillId="0" borderId="0" xfId="0" applyFont="1" applyAlignment="1" applyProtection="1">
      <alignment horizontal="left" wrapText="1"/>
      <protection hidden="1"/>
    </xf>
    <xf numFmtId="0" fontId="6" fillId="0" borderId="31" xfId="0" applyFont="1" applyBorder="1" applyProtection="1">
      <protection hidden="1"/>
    </xf>
    <xf numFmtId="0" fontId="47" fillId="0" borderId="31" xfId="0" applyFont="1" applyBorder="1" applyAlignment="1" applyProtection="1">
      <alignment horizontal="center" vertical="center" wrapText="1"/>
      <protection hidden="1"/>
    </xf>
    <xf numFmtId="0" fontId="16" fillId="0" borderId="31" xfId="0" applyFont="1" applyBorder="1" applyProtection="1">
      <protection hidden="1"/>
    </xf>
    <xf numFmtId="0" fontId="46" fillId="0" borderId="31" xfId="0" applyFont="1" applyBorder="1" applyAlignment="1" applyProtection="1">
      <alignment vertical="center"/>
      <protection hidden="1"/>
    </xf>
    <xf numFmtId="0" fontId="47" fillId="0" borderId="31" xfId="0" applyFont="1" applyBorder="1" applyProtection="1">
      <protection hidden="1"/>
    </xf>
    <xf numFmtId="0" fontId="46" fillId="0" borderId="31" xfId="0" applyFont="1" applyBorder="1" applyProtection="1">
      <protection hidden="1"/>
    </xf>
    <xf numFmtId="0" fontId="2" fillId="0" borderId="31" xfId="0" applyFont="1" applyBorder="1" applyAlignment="1" applyProtection="1">
      <alignment horizontal="left"/>
      <protection hidden="1"/>
    </xf>
    <xf numFmtId="0" fontId="47" fillId="0" borderId="31" xfId="0" applyFont="1" applyBorder="1" applyAlignment="1" applyProtection="1">
      <alignment horizontal="left"/>
      <protection hidden="1"/>
    </xf>
    <xf numFmtId="0" fontId="47" fillId="0" borderId="31" xfId="0" applyFont="1" applyBorder="1" applyAlignment="1" applyProtection="1">
      <alignment vertical="center" wrapText="1"/>
      <protection hidden="1"/>
    </xf>
    <xf numFmtId="0" fontId="16" fillId="0" borderId="31" xfId="0" applyFont="1" applyBorder="1" applyAlignment="1" applyProtection="1">
      <alignment vertical="center"/>
      <protection hidden="1"/>
    </xf>
    <xf numFmtId="0" fontId="4" fillId="0" borderId="31" xfId="0" applyFont="1" applyBorder="1" applyAlignment="1" applyProtection="1">
      <alignment vertical="center" wrapText="1"/>
      <protection hidden="1"/>
    </xf>
    <xf numFmtId="0" fontId="46" fillId="0" borderId="31" xfId="0" applyFont="1" applyBorder="1" applyAlignment="1" applyProtection="1">
      <alignment vertical="center" wrapText="1"/>
      <protection hidden="1"/>
    </xf>
    <xf numFmtId="0" fontId="4" fillId="0" borderId="31" xfId="0" applyFont="1" applyBorder="1" applyAlignment="1" applyProtection="1">
      <alignment wrapText="1"/>
      <protection hidden="1"/>
    </xf>
    <xf numFmtId="0" fontId="3" fillId="0" borderId="31" xfId="0" applyFont="1" applyBorder="1" applyAlignment="1" applyProtection="1">
      <alignment vertical="center"/>
      <protection hidden="1"/>
    </xf>
    <xf numFmtId="0" fontId="2" fillId="0" borderId="31" xfId="0" applyFont="1" applyBorder="1" applyAlignment="1" applyProtection="1">
      <alignment vertical="center"/>
      <protection hidden="1"/>
    </xf>
    <xf numFmtId="0" fontId="4" fillId="0" borderId="31" xfId="0" applyFont="1" applyBorder="1" applyAlignment="1" applyProtection="1">
      <alignment vertical="center"/>
      <protection hidden="1"/>
    </xf>
    <xf numFmtId="0" fontId="45" fillId="0" borderId="31" xfId="0" applyFont="1" applyBorder="1" applyAlignment="1" applyProtection="1">
      <alignment vertical="center"/>
      <protection hidden="1"/>
    </xf>
    <xf numFmtId="0" fontId="2" fillId="0" borderId="31" xfId="0" applyFont="1" applyBorder="1" applyAlignment="1" applyProtection="1">
      <alignment horizontal="right" vertical="center" wrapText="1"/>
      <protection hidden="1"/>
    </xf>
    <xf numFmtId="0" fontId="47" fillId="0" borderId="31" xfId="0" applyFont="1" applyBorder="1" applyAlignment="1" applyProtection="1">
      <alignment vertical="center"/>
      <protection hidden="1"/>
    </xf>
    <xf numFmtId="0" fontId="2" fillId="0" borderId="31" xfId="0" applyFont="1" applyBorder="1" applyAlignment="1" applyProtection="1">
      <alignment vertical="center" wrapText="1"/>
      <protection hidden="1"/>
    </xf>
    <xf numFmtId="0" fontId="3" fillId="0" borderId="31" xfId="0" applyFont="1" applyBorder="1" applyAlignment="1" applyProtection="1">
      <alignment vertical="center" wrapText="1"/>
      <protection hidden="1"/>
    </xf>
    <xf numFmtId="0" fontId="16" fillId="0" borderId="31" xfId="0" applyFont="1" applyBorder="1" applyAlignment="1" applyProtection="1">
      <alignment vertical="center" wrapText="1"/>
      <protection hidden="1"/>
    </xf>
    <xf numFmtId="0" fontId="2" fillId="0" borderId="31" xfId="0" applyFont="1" applyBorder="1" applyAlignment="1" applyProtection="1">
      <alignment wrapText="1"/>
      <protection hidden="1"/>
    </xf>
    <xf numFmtId="0" fontId="4" fillId="0" borderId="31" xfId="0" applyFont="1" applyBorder="1" applyAlignment="1" applyProtection="1">
      <alignment horizontal="right"/>
      <protection hidden="1"/>
    </xf>
    <xf numFmtId="0" fontId="4" fillId="0" borderId="31" xfId="0" applyFont="1" applyBorder="1" applyProtection="1">
      <protection hidden="1"/>
    </xf>
    <xf numFmtId="0" fontId="6" fillId="0" borderId="31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31" xfId="0" applyFont="1" applyBorder="1" applyAlignment="1" applyProtection="1">
      <alignment horizontal="center" vertical="center" wrapText="1"/>
      <protection hidden="1"/>
    </xf>
    <xf numFmtId="0" fontId="6" fillId="0" borderId="31" xfId="0" applyFont="1" applyBorder="1" applyAlignment="1" applyProtection="1">
      <alignment horizontal="center" wrapText="1"/>
      <protection hidden="1"/>
    </xf>
    <xf numFmtId="0" fontId="7" fillId="0" borderId="31" xfId="0" applyFont="1" applyBorder="1" applyAlignment="1" applyProtection="1">
      <alignment vertical="center" wrapText="1"/>
      <protection hidden="1"/>
    </xf>
    <xf numFmtId="0" fontId="4" fillId="0" borderId="31" xfId="0" applyFont="1" applyBorder="1" applyAlignment="1" applyProtection="1">
      <alignment horizontal="right" vertical="center" wrapText="1"/>
      <protection hidden="1"/>
    </xf>
    <xf numFmtId="0" fontId="45" fillId="0" borderId="31" xfId="0" applyFont="1" applyBorder="1" applyAlignment="1" applyProtection="1">
      <alignment horizontal="left"/>
      <protection hidden="1"/>
    </xf>
    <xf numFmtId="0" fontId="45" fillId="0" borderId="31" xfId="0" applyFont="1" applyBorder="1" applyAlignment="1" applyProtection="1">
      <alignment horizontal="left" wrapText="1"/>
      <protection hidden="1"/>
    </xf>
    <xf numFmtId="0" fontId="45" fillId="0" borderId="31" xfId="0" applyFont="1" applyBorder="1" applyAlignment="1" applyProtection="1">
      <alignment horizontal="left" vertical="center" textRotation="90" wrapText="1"/>
      <protection hidden="1"/>
    </xf>
    <xf numFmtId="0" fontId="16" fillId="0" borderId="31" xfId="0" applyFont="1" applyBorder="1" applyAlignment="1" applyProtection="1">
      <alignment horizontal="center"/>
      <protection hidden="1"/>
    </xf>
    <xf numFmtId="0" fontId="44" fillId="0" borderId="31" xfId="0" applyFont="1" applyBorder="1" applyAlignment="1" applyProtection="1">
      <alignment vertical="center" wrapText="1"/>
      <protection hidden="1"/>
    </xf>
    <xf numFmtId="0" fontId="3" fillId="0" borderId="31" xfId="0" applyFont="1" applyBorder="1" applyAlignment="1" applyProtection="1">
      <alignment horizontal="left"/>
      <protection hidden="1"/>
    </xf>
    <xf numFmtId="0" fontId="3" fillId="0" borderId="31" xfId="0" applyFont="1" applyBorder="1" applyProtection="1">
      <protection hidden="1"/>
    </xf>
    <xf numFmtId="0" fontId="2" fillId="0" borderId="31" xfId="1" applyNumberFormat="1" applyFont="1" applyFill="1" applyBorder="1" applyAlignment="1" applyProtection="1">
      <alignment horizontal="center" vertical="center" wrapText="1"/>
      <protection hidden="1"/>
    </xf>
    <xf numFmtId="0" fontId="46" fillId="0" borderId="31" xfId="0" applyFont="1" applyBorder="1" applyAlignment="1" applyProtection="1">
      <alignment horizontal="right" vertical="center" wrapText="1"/>
      <protection hidden="1"/>
    </xf>
    <xf numFmtId="0" fontId="2" fillId="0" borderId="31" xfId="0" applyFont="1" applyBorder="1" applyAlignment="1" applyProtection="1">
      <alignment horizontal="right"/>
      <protection hidden="1"/>
    </xf>
    <xf numFmtId="0" fontId="7" fillId="0" borderId="31" xfId="1" applyNumberFormat="1" applyFont="1" applyFill="1" applyBorder="1" applyAlignment="1" applyProtection="1">
      <alignment horizontal="right" vertical="center" wrapText="1"/>
      <protection hidden="1"/>
    </xf>
    <xf numFmtId="0" fontId="44" fillId="0" borderId="31" xfId="0" applyFont="1" applyBorder="1" applyAlignment="1" applyProtection="1">
      <alignment vertical="center"/>
      <protection hidden="1"/>
    </xf>
    <xf numFmtId="0" fontId="44" fillId="0" borderId="31" xfId="0" applyFont="1" applyBorder="1" applyProtection="1">
      <protection hidden="1"/>
    </xf>
    <xf numFmtId="0" fontId="16" fillId="0" borderId="31" xfId="1" applyNumberFormat="1" applyFont="1" applyFill="1" applyBorder="1" applyAlignment="1" applyProtection="1">
      <alignment horizontal="center"/>
      <protection hidden="1"/>
    </xf>
    <xf numFmtId="0" fontId="44" fillId="0" borderId="31" xfId="0" applyFont="1" applyBorder="1" applyAlignment="1" applyProtection="1">
      <alignment wrapText="1"/>
      <protection hidden="1"/>
    </xf>
    <xf numFmtId="0" fontId="10" fillId="0" borderId="31" xfId="0" applyFont="1" applyBorder="1" applyAlignment="1" applyProtection="1">
      <alignment vertical="center" wrapText="1"/>
      <protection hidden="1"/>
    </xf>
    <xf numFmtId="0" fontId="11" fillId="0" borderId="31" xfId="0" applyFont="1" applyBorder="1" applyAlignment="1" applyProtection="1">
      <alignment vertical="center" wrapText="1"/>
      <protection hidden="1"/>
    </xf>
    <xf numFmtId="0" fontId="6" fillId="4" borderId="31" xfId="0" applyFont="1" applyFill="1" applyBorder="1" applyAlignment="1" applyProtection="1">
      <alignment horizontal="center"/>
      <protection hidden="1"/>
    </xf>
    <xf numFmtId="0" fontId="6" fillId="4" borderId="31" xfId="0" applyFont="1" applyFill="1" applyBorder="1" applyAlignment="1" applyProtection="1">
      <alignment horizontal="center" vertical="center"/>
      <protection hidden="1"/>
    </xf>
    <xf numFmtId="0" fontId="16" fillId="4" borderId="31" xfId="0" applyFont="1" applyFill="1" applyBorder="1" applyAlignment="1" applyProtection="1">
      <alignment horizontal="center" vertical="center"/>
      <protection hidden="1"/>
    </xf>
    <xf numFmtId="0" fontId="47" fillId="5" borderId="31" xfId="0" applyFont="1" applyFill="1" applyBorder="1" applyAlignment="1" applyProtection="1">
      <alignment horizontal="center" vertical="center" wrapText="1"/>
      <protection hidden="1"/>
    </xf>
    <xf numFmtId="0" fontId="46" fillId="4" borderId="31" xfId="0" applyFont="1" applyFill="1" applyBorder="1" applyAlignment="1" applyProtection="1">
      <alignment horizontal="center"/>
      <protection hidden="1"/>
    </xf>
    <xf numFmtId="0" fontId="7" fillId="4" borderId="31" xfId="0" applyFont="1" applyFill="1" applyBorder="1" applyAlignment="1" applyProtection="1">
      <alignment horizontal="center" vertical="center"/>
      <protection hidden="1"/>
    </xf>
    <xf numFmtId="0" fontId="16" fillId="4" borderId="31" xfId="0" applyFont="1" applyFill="1" applyBorder="1" applyProtection="1">
      <protection hidden="1"/>
    </xf>
    <xf numFmtId="0" fontId="46" fillId="4" borderId="31" xfId="0" applyFont="1" applyFill="1" applyBorder="1" applyAlignment="1" applyProtection="1">
      <alignment vertical="center"/>
      <protection hidden="1"/>
    </xf>
    <xf numFmtId="0" fontId="47" fillId="4" borderId="31" xfId="0" applyFont="1" applyFill="1" applyBorder="1" applyProtection="1">
      <protection hidden="1"/>
    </xf>
    <xf numFmtId="0" fontId="46" fillId="4" borderId="31" xfId="0" applyFont="1" applyFill="1" applyBorder="1" applyProtection="1">
      <protection hidden="1"/>
    </xf>
    <xf numFmtId="0" fontId="2" fillId="4" borderId="31" xfId="0" applyFont="1" applyFill="1" applyBorder="1" applyAlignment="1" applyProtection="1">
      <alignment horizontal="left"/>
      <protection hidden="1"/>
    </xf>
    <xf numFmtId="0" fontId="47" fillId="4" borderId="31" xfId="0" applyFont="1" applyFill="1" applyBorder="1" applyAlignment="1" applyProtection="1">
      <alignment horizontal="left"/>
      <protection hidden="1"/>
    </xf>
    <xf numFmtId="0" fontId="47" fillId="5" borderId="31" xfId="0" applyFont="1" applyFill="1" applyBorder="1" applyAlignment="1" applyProtection="1">
      <alignment vertical="center" wrapText="1"/>
      <protection hidden="1"/>
    </xf>
    <xf numFmtId="0" fontId="2" fillId="4" borderId="31" xfId="0" applyFont="1" applyFill="1" applyBorder="1" applyProtection="1">
      <protection hidden="1"/>
    </xf>
    <xf numFmtId="2" fontId="27" fillId="3" borderId="0" xfId="0" applyNumberFormat="1" applyFont="1" applyFill="1" applyAlignment="1" applyProtection="1">
      <alignment horizontal="right" vertical="center"/>
      <protection hidden="1"/>
    </xf>
    <xf numFmtId="2" fontId="27" fillId="3" borderId="0" xfId="0" applyNumberFormat="1" applyFont="1" applyFill="1" applyProtection="1">
      <protection hidden="1"/>
    </xf>
    <xf numFmtId="2" fontId="2" fillId="3" borderId="0" xfId="1" applyNumberFormat="1" applyFont="1" applyFill="1" applyBorder="1" applyAlignment="1" applyProtection="1">
      <alignment horizontal="right" vertical="center"/>
      <protection hidden="1"/>
    </xf>
    <xf numFmtId="0" fontId="2" fillId="3" borderId="0" xfId="1" applyNumberFormat="1" applyFont="1" applyFill="1" applyBorder="1" applyAlignment="1" applyProtection="1">
      <alignment horizontal="right"/>
      <protection hidden="1"/>
    </xf>
    <xf numFmtId="0" fontId="2" fillId="3" borderId="0" xfId="0" applyFont="1" applyFill="1" applyAlignment="1" applyProtection="1">
      <alignment horizontal="right"/>
      <protection hidden="1"/>
    </xf>
    <xf numFmtId="0" fontId="3" fillId="3" borderId="0" xfId="0" applyFont="1" applyFill="1" applyAlignment="1" applyProtection="1">
      <alignment horizontal="right" vertical="center"/>
      <protection hidden="1"/>
    </xf>
    <xf numFmtId="0" fontId="7" fillId="4" borderId="31" xfId="0" applyFont="1" applyFill="1" applyBorder="1" applyAlignment="1" applyProtection="1">
      <alignment horizontal="center"/>
      <protection hidden="1"/>
    </xf>
    <xf numFmtId="0" fontId="47" fillId="5" borderId="31" xfId="0" applyFont="1" applyFill="1" applyBorder="1" applyAlignment="1" applyProtection="1">
      <alignment horizontal="center" wrapText="1"/>
      <protection hidden="1"/>
    </xf>
    <xf numFmtId="0" fontId="34" fillId="3" borderId="3" xfId="0" applyFont="1" applyFill="1" applyBorder="1" applyAlignment="1" applyProtection="1">
      <alignment vertical="center" wrapText="1"/>
      <protection hidden="1"/>
    </xf>
    <xf numFmtId="0" fontId="34" fillId="3" borderId="0" xfId="0" applyFont="1" applyFill="1" applyAlignment="1" applyProtection="1">
      <alignment vertical="center" wrapText="1"/>
      <protection hidden="1"/>
    </xf>
    <xf numFmtId="0" fontId="34" fillId="3" borderId="2" xfId="0" applyFont="1" applyFill="1" applyBorder="1" applyAlignment="1" applyProtection="1">
      <alignment vertical="center" wrapText="1"/>
      <protection hidden="1"/>
    </xf>
    <xf numFmtId="0" fontId="17" fillId="3" borderId="0" xfId="0" applyFont="1" applyFill="1" applyProtection="1">
      <protection hidden="1"/>
    </xf>
    <xf numFmtId="0" fontId="17" fillId="3" borderId="3" xfId="0" applyFont="1" applyFill="1" applyBorder="1" applyProtection="1">
      <protection hidden="1"/>
    </xf>
    <xf numFmtId="0" fontId="17" fillId="3" borderId="2" xfId="0" applyFont="1" applyFill="1" applyBorder="1" applyProtection="1">
      <protection hidden="1"/>
    </xf>
    <xf numFmtId="0" fontId="24" fillId="6" borderId="0" xfId="0" applyFont="1" applyFill="1" applyAlignment="1" applyProtection="1">
      <alignment horizontal="center"/>
      <protection hidden="1"/>
    </xf>
    <xf numFmtId="0" fontId="2" fillId="6" borderId="0" xfId="0" applyFont="1" applyFill="1" applyProtection="1">
      <protection hidden="1"/>
    </xf>
    <xf numFmtId="0" fontId="2" fillId="6" borderId="0" xfId="0" applyFont="1" applyFill="1" applyAlignment="1" applyProtection="1">
      <alignment vertical="center"/>
      <protection hidden="1"/>
    </xf>
    <xf numFmtId="0" fontId="6" fillId="3" borderId="0" xfId="0" applyFont="1" applyFill="1" applyAlignment="1" applyProtection="1">
      <alignment horizontal="left" vertical="top"/>
      <protection hidden="1"/>
    </xf>
    <xf numFmtId="0" fontId="4" fillId="3" borderId="0" xfId="0" applyFont="1" applyFill="1" applyProtection="1">
      <protection hidden="1"/>
    </xf>
    <xf numFmtId="2" fontId="4" fillId="3" borderId="0" xfId="0" applyNumberFormat="1" applyFont="1" applyFill="1" applyAlignment="1" applyProtection="1">
      <alignment horizontal="right" vertical="center"/>
      <protection hidden="1"/>
    </xf>
    <xf numFmtId="2" fontId="4" fillId="3" borderId="0" xfId="0" applyNumberFormat="1" applyFont="1" applyFill="1" applyAlignment="1" applyProtection="1">
      <alignment horizontal="right" vertical="top"/>
      <protection hidden="1"/>
    </xf>
    <xf numFmtId="0" fontId="4" fillId="3" borderId="0" xfId="0" applyFont="1" applyFill="1" applyAlignment="1" applyProtection="1">
      <alignment horizontal="right"/>
      <protection hidden="1"/>
    </xf>
    <xf numFmtId="0" fontId="4" fillId="3" borderId="0" xfId="0" applyFont="1" applyFill="1" applyAlignment="1" applyProtection="1">
      <alignment horizontal="right" vertical="center"/>
      <protection hidden="1"/>
    </xf>
    <xf numFmtId="0" fontId="4" fillId="3" borderId="0" xfId="0" applyFont="1" applyFill="1" applyAlignment="1" applyProtection="1">
      <alignment vertical="center"/>
      <protection hidden="1"/>
    </xf>
    <xf numFmtId="43" fontId="4" fillId="3" borderId="0" xfId="1" applyFont="1" applyFill="1" applyBorder="1" applyProtection="1">
      <protection hidden="1"/>
    </xf>
    <xf numFmtId="43" fontId="4" fillId="3" borderId="0" xfId="1" applyFont="1" applyFill="1" applyBorder="1" applyAlignment="1" applyProtection="1">
      <protection hidden="1"/>
    </xf>
    <xf numFmtId="167" fontId="4" fillId="3" borderId="0" xfId="1" applyNumberFormat="1" applyFont="1" applyFill="1" applyBorder="1" applyAlignment="1" applyProtection="1">
      <protection hidden="1"/>
    </xf>
    <xf numFmtId="167" fontId="4" fillId="3" borderId="0" xfId="1" applyNumberFormat="1" applyFont="1" applyFill="1" applyBorder="1" applyAlignment="1" applyProtection="1">
      <alignment vertical="center"/>
      <protection hidden="1"/>
    </xf>
    <xf numFmtId="166" fontId="4" fillId="3" borderId="0" xfId="1" applyNumberFormat="1" applyFont="1" applyFill="1" applyBorder="1" applyAlignment="1" applyProtection="1">
      <alignment horizontal="right"/>
      <protection hidden="1"/>
    </xf>
    <xf numFmtId="0" fontId="34" fillId="3" borderId="0" xfId="0" applyFont="1" applyFill="1" applyAlignment="1" applyProtection="1">
      <alignment horizontal="right" vertical="center" wrapText="1"/>
      <protection hidden="1"/>
    </xf>
    <xf numFmtId="0" fontId="33" fillId="3" borderId="0" xfId="0" applyFont="1" applyFill="1" applyAlignment="1" applyProtection="1">
      <alignment horizontal="right"/>
      <protection hidden="1"/>
    </xf>
    <xf numFmtId="0" fontId="17" fillId="3" borderId="0" xfId="0" applyFont="1" applyFill="1" applyAlignment="1" applyProtection="1">
      <alignment horizontal="right"/>
      <protection hidden="1"/>
    </xf>
    <xf numFmtId="0" fontId="24" fillId="3" borderId="0" xfId="0" applyFont="1" applyFill="1" applyAlignment="1" applyProtection="1">
      <alignment horizontal="right"/>
      <protection hidden="1"/>
    </xf>
    <xf numFmtId="0" fontId="24" fillId="3" borderId="1" xfId="0" applyFont="1" applyFill="1" applyBorder="1" applyAlignment="1" applyProtection="1">
      <alignment horizontal="right"/>
      <protection hidden="1"/>
    </xf>
    <xf numFmtId="0" fontId="24" fillId="6" borderId="0" xfId="0" applyFont="1" applyFill="1" applyAlignment="1" applyProtection="1">
      <alignment horizontal="right"/>
      <protection hidden="1"/>
    </xf>
    <xf numFmtId="0" fontId="27" fillId="3" borderId="32" xfId="0" applyFont="1" applyFill="1" applyBorder="1" applyProtection="1">
      <protection hidden="1"/>
    </xf>
    <xf numFmtId="0" fontId="28" fillId="3" borderId="32" xfId="0" applyFont="1" applyFill="1" applyBorder="1" applyAlignment="1" applyProtection="1">
      <alignment horizontal="right"/>
      <protection hidden="1"/>
    </xf>
    <xf numFmtId="2" fontId="2" fillId="3" borderId="0" xfId="0" applyNumberFormat="1" applyFont="1" applyFill="1" applyAlignment="1" applyProtection="1">
      <alignment vertical="center"/>
      <protection hidden="1"/>
    </xf>
    <xf numFmtId="0" fontId="2" fillId="3" borderId="10" xfId="0" applyFont="1" applyFill="1" applyBorder="1" applyProtection="1">
      <protection hidden="1"/>
    </xf>
    <xf numFmtId="0" fontId="14" fillId="3" borderId="3" xfId="0" applyFont="1" applyFill="1" applyBorder="1" applyAlignment="1" applyProtection="1">
      <alignment vertical="center"/>
      <protection hidden="1"/>
    </xf>
    <xf numFmtId="164" fontId="26" fillId="3" borderId="3" xfId="0" applyNumberFormat="1" applyFont="1" applyFill="1" applyBorder="1" applyAlignment="1" applyProtection="1">
      <alignment vertical="center"/>
      <protection hidden="1"/>
    </xf>
    <xf numFmtId="164" fontId="25" fillId="3" borderId="3" xfId="0" applyNumberFormat="1" applyFont="1" applyFill="1" applyBorder="1" applyProtection="1">
      <protection hidden="1"/>
    </xf>
    <xf numFmtId="167" fontId="2" fillId="3" borderId="0" xfId="1" applyNumberFormat="1" applyFont="1" applyFill="1" applyBorder="1" applyAlignment="1" applyProtection="1">
      <alignment vertical="top"/>
      <protection hidden="1"/>
    </xf>
    <xf numFmtId="43" fontId="4" fillId="3" borderId="0" xfId="1" applyFont="1" applyFill="1" applyBorder="1" applyAlignment="1" applyProtection="1">
      <alignment vertical="center"/>
      <protection hidden="1"/>
    </xf>
    <xf numFmtId="43" fontId="2" fillId="3" borderId="0" xfId="0" applyNumberFormat="1" applyFont="1" applyFill="1" applyProtection="1">
      <protection hidden="1"/>
    </xf>
    <xf numFmtId="167" fontId="6" fillId="6" borderId="0" xfId="0" applyNumberFormat="1" applyFont="1" applyFill="1" applyAlignment="1" applyProtection="1">
      <alignment horizontal="center" vertical="center"/>
      <protection hidden="1"/>
    </xf>
    <xf numFmtId="0" fontId="6" fillId="3" borderId="0" xfId="0" applyFont="1" applyFill="1" applyProtection="1">
      <protection hidden="1"/>
    </xf>
    <xf numFmtId="43" fontId="6" fillId="6" borderId="0" xfId="0" applyNumberFormat="1" applyFont="1" applyFill="1" applyProtection="1">
      <protection hidden="1"/>
    </xf>
    <xf numFmtId="43" fontId="2" fillId="6" borderId="0" xfId="0" applyNumberFormat="1" applyFont="1" applyFill="1" applyProtection="1">
      <protection hidden="1"/>
    </xf>
    <xf numFmtId="167" fontId="2" fillId="3" borderId="0" xfId="0" applyNumberFormat="1" applyFont="1" applyFill="1" applyProtection="1">
      <protection hidden="1"/>
    </xf>
    <xf numFmtId="43" fontId="16" fillId="3" borderId="0" xfId="0" applyNumberFormat="1" applyFont="1" applyFill="1" applyAlignment="1" applyProtection="1">
      <alignment vertical="center"/>
      <protection hidden="1"/>
    </xf>
    <xf numFmtId="43" fontId="6" fillId="3" borderId="0" xfId="0" applyNumberFormat="1" applyFont="1" applyFill="1" applyAlignment="1" applyProtection="1">
      <alignment vertical="center"/>
      <protection hidden="1"/>
    </xf>
    <xf numFmtId="0" fontId="6" fillId="3" borderId="0" xfId="0" applyFont="1" applyFill="1" applyAlignment="1" applyProtection="1">
      <alignment vertical="center"/>
      <protection hidden="1"/>
    </xf>
    <xf numFmtId="0" fontId="16" fillId="3" borderId="0" xfId="0" applyFont="1" applyFill="1" applyProtection="1">
      <protection hidden="1"/>
    </xf>
    <xf numFmtId="0" fontId="44" fillId="3" borderId="0" xfId="0" applyFont="1" applyFill="1" applyProtection="1">
      <protection hidden="1"/>
    </xf>
    <xf numFmtId="0" fontId="52" fillId="3" borderId="0" xfId="0" applyFont="1" applyFill="1" applyProtection="1">
      <protection hidden="1"/>
    </xf>
    <xf numFmtId="0" fontId="14" fillId="3" borderId="0" xfId="0" applyFont="1" applyFill="1" applyAlignment="1" applyProtection="1">
      <alignment vertical="center"/>
      <protection hidden="1"/>
    </xf>
    <xf numFmtId="164" fontId="26" fillId="3" borderId="0" xfId="0" applyNumberFormat="1" applyFont="1" applyFill="1" applyAlignment="1" applyProtection="1">
      <alignment vertical="center"/>
      <protection hidden="1"/>
    </xf>
    <xf numFmtId="2" fontId="26" fillId="3" borderId="0" xfId="0" applyNumberFormat="1" applyFont="1" applyFill="1" applyAlignment="1" applyProtection="1">
      <alignment vertical="center"/>
      <protection hidden="1"/>
    </xf>
    <xf numFmtId="2" fontId="25" fillId="3" borderId="0" xfId="0" applyNumberFormat="1" applyFont="1" applyFill="1" applyProtection="1">
      <protection hidden="1"/>
    </xf>
    <xf numFmtId="0" fontId="14" fillId="3" borderId="0" xfId="0" applyFont="1" applyFill="1" applyProtection="1">
      <protection hidden="1"/>
    </xf>
    <xf numFmtId="1" fontId="2" fillId="3" borderId="0" xfId="0" applyNumberFormat="1" applyFont="1" applyFill="1" applyProtection="1">
      <protection hidden="1"/>
    </xf>
    <xf numFmtId="2" fontId="2" fillId="3" borderId="0" xfId="0" applyNumberFormat="1" applyFont="1" applyFill="1" applyProtection="1">
      <protection hidden="1"/>
    </xf>
    <xf numFmtId="2" fontId="22" fillId="3" borderId="0" xfId="0" applyNumberFormat="1" applyFont="1" applyFill="1" applyAlignment="1" applyProtection="1">
      <alignment vertical="center" wrapText="1"/>
      <protection hidden="1"/>
    </xf>
    <xf numFmtId="0" fontId="2" fillId="3" borderId="0" xfId="0" applyFont="1" applyFill="1" applyAlignment="1" applyProtection="1">
      <alignment horizontal="right" vertical="center"/>
      <protection hidden="1"/>
    </xf>
    <xf numFmtId="2" fontId="34" fillId="3" borderId="0" xfId="0" applyNumberFormat="1" applyFont="1" applyFill="1" applyAlignment="1" applyProtection="1">
      <alignment vertical="center" wrapText="1"/>
      <protection hidden="1"/>
    </xf>
    <xf numFmtId="1" fontId="6" fillId="3" borderId="0" xfId="0" applyNumberFormat="1" applyFont="1" applyFill="1" applyAlignment="1" applyProtection="1">
      <alignment vertical="center" wrapText="1"/>
      <protection hidden="1"/>
    </xf>
    <xf numFmtId="0" fontId="34" fillId="6" borderId="0" xfId="0" applyFont="1" applyFill="1" applyAlignment="1" applyProtection="1">
      <alignment vertical="center" wrapText="1"/>
      <protection hidden="1"/>
    </xf>
    <xf numFmtId="0" fontId="7" fillId="3" borderId="0" xfId="0" applyFont="1" applyFill="1" applyProtection="1">
      <protection hidden="1"/>
    </xf>
    <xf numFmtId="0" fontId="47" fillId="3" borderId="0" xfId="0" applyFont="1" applyFill="1" applyAlignment="1" applyProtection="1">
      <alignment horizontal="center"/>
      <protection hidden="1"/>
    </xf>
    <xf numFmtId="0" fontId="45" fillId="3" borderId="0" xfId="0" applyFont="1" applyFill="1" applyAlignment="1" applyProtection="1">
      <alignment horizontal="center"/>
      <protection hidden="1"/>
    </xf>
    <xf numFmtId="0" fontId="53" fillId="3" borderId="0" xfId="0" applyFont="1" applyFill="1" applyAlignment="1" applyProtection="1">
      <alignment horizontal="center"/>
      <protection hidden="1"/>
    </xf>
    <xf numFmtId="0" fontId="17" fillId="3" borderId="0" xfId="0" applyFont="1" applyFill="1" applyAlignment="1" applyProtection="1">
      <alignment horizontal="center"/>
      <protection hidden="1"/>
    </xf>
    <xf numFmtId="167" fontId="17" fillId="3" borderId="0" xfId="0" applyNumberFormat="1" applyFont="1" applyFill="1" applyAlignment="1" applyProtection="1">
      <alignment horizontal="center"/>
      <protection hidden="1"/>
    </xf>
    <xf numFmtId="0" fontId="44" fillId="0" borderId="0" xfId="0" applyFont="1" applyAlignment="1" applyProtection="1">
      <alignment vertic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45" fillId="0" borderId="0" xfId="0" applyFont="1" applyAlignment="1" applyProtection="1">
      <alignment horizontal="center" vertical="center" wrapText="1"/>
      <protection hidden="1"/>
    </xf>
    <xf numFmtId="0" fontId="56" fillId="0" borderId="0" xfId="0" applyFont="1" applyProtection="1">
      <protection hidden="1"/>
    </xf>
    <xf numFmtId="0" fontId="56" fillId="0" borderId="0" xfId="0" applyFont="1" applyAlignment="1" applyProtection="1">
      <alignment wrapText="1"/>
      <protection hidden="1"/>
    </xf>
    <xf numFmtId="0" fontId="56" fillId="4" borderId="31" xfId="0" applyFont="1" applyFill="1" applyBorder="1" applyAlignment="1" applyProtection="1">
      <alignment vertical="center"/>
      <protection hidden="1"/>
    </xf>
    <xf numFmtId="0" fontId="56" fillId="5" borderId="31" xfId="0" applyFont="1" applyFill="1" applyBorder="1" applyAlignment="1" applyProtection="1">
      <alignment horizontal="center" vertical="center" wrapText="1"/>
      <protection hidden="1"/>
    </xf>
    <xf numFmtId="0" fontId="56" fillId="0" borderId="0" xfId="0" applyFont="1" applyAlignment="1" applyProtection="1">
      <alignment vertical="center" wrapText="1"/>
      <protection hidden="1"/>
    </xf>
    <xf numFmtId="0" fontId="56" fillId="0" borderId="31" xfId="1" applyNumberFormat="1" applyFont="1" applyFill="1" applyBorder="1" applyAlignment="1" applyProtection="1">
      <alignment horizontal="center" vertical="center" wrapText="1"/>
      <protection hidden="1"/>
    </xf>
    <xf numFmtId="0" fontId="6" fillId="3" borderId="0" xfId="0" applyFont="1" applyFill="1" applyAlignment="1" applyProtection="1">
      <alignment horizontal="left"/>
      <protection hidden="1"/>
    </xf>
    <xf numFmtId="167" fontId="2" fillId="3" borderId="0" xfId="1" applyNumberFormat="1" applyFont="1" applyFill="1" applyBorder="1" applyAlignment="1" applyProtection="1">
      <alignment horizontal="right" vertical="center" wrapText="1"/>
      <protection hidden="1"/>
    </xf>
    <xf numFmtId="0" fontId="2" fillId="3" borderId="0" xfId="0" applyFont="1" applyFill="1" applyAlignment="1" applyProtection="1">
      <alignment horizontal="center"/>
      <protection hidden="1"/>
    </xf>
    <xf numFmtId="43" fontId="4" fillId="3" borderId="0" xfId="1" applyFont="1" applyFill="1" applyBorder="1" applyAlignment="1" applyProtection="1">
      <alignment horizontal="right"/>
      <protection hidden="1"/>
    </xf>
    <xf numFmtId="0" fontId="44" fillId="0" borderId="31" xfId="0" applyFont="1" applyBorder="1" applyAlignment="1" applyProtection="1">
      <alignment horizontal="right" vertical="center" wrapText="1"/>
      <protection hidden="1"/>
    </xf>
    <xf numFmtId="0" fontId="3" fillId="0" borderId="31" xfId="0" applyFont="1" applyBorder="1" applyAlignment="1" applyProtection="1">
      <alignment horizontal="center"/>
      <protection hidden="1"/>
    </xf>
    <xf numFmtId="0" fontId="2" fillId="0" borderId="31" xfId="0" applyFont="1" applyBorder="1" applyAlignment="1" applyProtection="1">
      <alignment horizontal="center"/>
      <protection hidden="1"/>
    </xf>
    <xf numFmtId="0" fontId="4" fillId="0" borderId="31" xfId="0" applyFont="1" applyBorder="1" applyAlignment="1" applyProtection="1">
      <alignment horizontal="right" vertical="center"/>
      <protection hidden="1"/>
    </xf>
    <xf numFmtId="0" fontId="2" fillId="0" borderId="31" xfId="0" applyFont="1" applyBorder="1" applyAlignment="1" applyProtection="1">
      <alignment horizontal="right" vertical="center"/>
      <protection hidden="1"/>
    </xf>
    <xf numFmtId="0" fontId="2" fillId="0" borderId="31" xfId="0" applyFont="1" applyBorder="1" applyAlignment="1" applyProtection="1">
      <alignment horizontal="center" vertical="center" wrapText="1"/>
      <protection hidden="1"/>
    </xf>
    <xf numFmtId="0" fontId="4" fillId="0" borderId="31" xfId="0" applyFont="1" applyBorder="1" applyAlignment="1" applyProtection="1">
      <alignment horizontal="center" vertical="center"/>
      <protection hidden="1"/>
    </xf>
    <xf numFmtId="0" fontId="4" fillId="0" borderId="31" xfId="0" applyFont="1" applyBorder="1" applyAlignment="1" applyProtection="1">
      <alignment horizontal="center" vertical="center" wrapText="1"/>
      <protection hidden="1"/>
    </xf>
    <xf numFmtId="0" fontId="7" fillId="0" borderId="0" xfId="0" applyFont="1" applyAlignment="1" applyProtection="1">
      <alignment horizontal="right" vertical="center" wrapText="1"/>
      <protection hidden="1"/>
    </xf>
    <xf numFmtId="0" fontId="44" fillId="0" borderId="31" xfId="0" applyFont="1" applyBorder="1" applyAlignment="1" applyProtection="1">
      <alignment horizontal="left" wrapText="1"/>
      <protection hidden="1"/>
    </xf>
    <xf numFmtId="0" fontId="44" fillId="0" borderId="31" xfId="0" applyFont="1" applyBorder="1" applyAlignment="1" applyProtection="1">
      <alignment horizontal="left" vertical="center" wrapText="1"/>
      <protection hidden="1"/>
    </xf>
    <xf numFmtId="0" fontId="2" fillId="0" borderId="31" xfId="0" applyFont="1" applyBorder="1" applyAlignment="1" applyProtection="1">
      <alignment horizontal="center" wrapText="1"/>
      <protection hidden="1"/>
    </xf>
    <xf numFmtId="0" fontId="4" fillId="0" borderId="31" xfId="0" applyFont="1" applyBorder="1" applyAlignment="1" applyProtection="1">
      <alignment horizontal="center"/>
      <protection hidden="1"/>
    </xf>
    <xf numFmtId="0" fontId="46" fillId="0" borderId="31" xfId="0" applyFont="1" applyBorder="1" applyAlignment="1" applyProtection="1">
      <alignment horizontal="left"/>
      <protection hidden="1"/>
    </xf>
    <xf numFmtId="0" fontId="44" fillId="0" borderId="31" xfId="0" applyFont="1" applyBorder="1" applyAlignment="1" applyProtection="1">
      <alignment horizontal="left" vertical="center"/>
      <protection hidden="1"/>
    </xf>
    <xf numFmtId="0" fontId="7" fillId="0" borderId="31" xfId="0" applyFont="1" applyBorder="1" applyAlignment="1" applyProtection="1">
      <alignment horizontal="right" vertical="center" wrapText="1"/>
      <protection hidden="1"/>
    </xf>
    <xf numFmtId="2" fontId="27" fillId="3" borderId="0" xfId="0" applyNumberFormat="1" applyFont="1" applyFill="1" applyAlignment="1" applyProtection="1">
      <alignment horizontal="right"/>
      <protection hidden="1"/>
    </xf>
    <xf numFmtId="0" fontId="27" fillId="3" borderId="0" xfId="0" applyFont="1" applyFill="1" applyAlignment="1" applyProtection="1">
      <alignment horizontal="right"/>
      <protection hidden="1"/>
    </xf>
    <xf numFmtId="0" fontId="34" fillId="3" borderId="3" xfId="0" applyFont="1" applyFill="1" applyBorder="1" applyAlignment="1" applyProtection="1">
      <alignment horizontal="center" vertical="center" wrapText="1"/>
      <protection hidden="1"/>
    </xf>
    <xf numFmtId="0" fontId="34" fillId="3" borderId="0" xfId="0" applyFont="1" applyFill="1" applyAlignment="1" applyProtection="1">
      <alignment horizontal="center" vertical="center" wrapText="1"/>
      <protection hidden="1"/>
    </xf>
    <xf numFmtId="0" fontId="34" fillId="3" borderId="2" xfId="0" applyFont="1" applyFill="1" applyBorder="1" applyAlignment="1" applyProtection="1">
      <alignment horizontal="center" vertical="center" wrapText="1"/>
      <protection hidden="1"/>
    </xf>
    <xf numFmtId="0" fontId="28" fillId="3" borderId="0" xfId="0" applyFont="1" applyFill="1" applyAlignment="1" applyProtection="1">
      <alignment horizontal="left"/>
      <protection hidden="1"/>
    </xf>
    <xf numFmtId="0" fontId="22" fillId="3" borderId="0" xfId="0" applyFont="1" applyFill="1" applyAlignment="1" applyProtection="1">
      <alignment horizontal="center"/>
      <protection hidden="1"/>
    </xf>
    <xf numFmtId="0" fontId="46" fillId="4" borderId="31" xfId="0" applyFont="1" applyFill="1" applyBorder="1" applyAlignment="1" applyProtection="1">
      <alignment horizontal="left"/>
      <protection hidden="1"/>
    </xf>
    <xf numFmtId="0" fontId="46" fillId="4" borderId="31" xfId="0" applyFont="1" applyFill="1" applyBorder="1" applyAlignment="1" applyProtection="1">
      <alignment horizontal="left" vertical="center"/>
      <protection hidden="1"/>
    </xf>
    <xf numFmtId="0" fontId="6" fillId="0" borderId="0" xfId="0" applyFont="1" applyAlignment="1" applyProtection="1">
      <alignment horizontal="center" vertical="center" wrapText="1"/>
      <protection hidden="1"/>
    </xf>
    <xf numFmtId="0" fontId="2" fillId="0" borderId="31" xfId="0" applyFont="1" applyBorder="1" applyAlignment="1" applyProtection="1">
      <alignment horizontal="left" wrapText="1"/>
      <protection hidden="1"/>
    </xf>
    <xf numFmtId="0" fontId="2" fillId="0" borderId="31" xfId="0" applyFont="1" applyBorder="1" applyProtection="1">
      <protection hidden="1"/>
    </xf>
    <xf numFmtId="0" fontId="7" fillId="0" borderId="31" xfId="0" applyFont="1" applyBorder="1" applyAlignment="1" applyProtection="1">
      <alignment horizontal="right" wrapText="1"/>
      <protection hidden="1"/>
    </xf>
    <xf numFmtId="0" fontId="2" fillId="0" borderId="0" xfId="0" applyFont="1" applyAlignment="1" applyProtection="1">
      <alignment horizontal="center" vertical="center" wrapText="1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4" fillId="3" borderId="0" xfId="0" applyFont="1" applyFill="1" applyAlignment="1" applyProtection="1">
      <alignment horizontal="left"/>
      <protection hidden="1"/>
    </xf>
    <xf numFmtId="0" fontId="3" fillId="3" borderId="0" xfId="0" applyFont="1" applyFill="1" applyAlignment="1" applyProtection="1">
      <alignment horizontal="left"/>
      <protection hidden="1"/>
    </xf>
    <xf numFmtId="43" fontId="2" fillId="3" borderId="0" xfId="1" applyFont="1" applyFill="1" applyBorder="1" applyAlignment="1" applyProtection="1">
      <alignment horizontal="right" vertical="center"/>
      <protection hidden="1"/>
    </xf>
    <xf numFmtId="167" fontId="2" fillId="3" borderId="0" xfId="1" applyNumberFormat="1" applyFont="1" applyFill="1" applyBorder="1" applyAlignment="1" applyProtection="1">
      <alignment horizontal="right"/>
      <protection hidden="1"/>
    </xf>
    <xf numFmtId="0" fontId="4" fillId="0" borderId="0" xfId="0" applyFont="1" applyAlignment="1" applyProtection="1">
      <alignment horizontal="center" vertical="center" wrapText="1"/>
      <protection hidden="1"/>
    </xf>
    <xf numFmtId="0" fontId="2" fillId="0" borderId="0" xfId="0" applyFont="1" applyAlignment="1" applyProtection="1">
      <alignment horizontal="center"/>
      <protection hidden="1"/>
    </xf>
    <xf numFmtId="0" fontId="51" fillId="6" borderId="11" xfId="0" applyFont="1" applyFill="1" applyBorder="1" applyAlignment="1" applyProtection="1">
      <alignment vertical="center"/>
      <protection hidden="1"/>
    </xf>
    <xf numFmtId="0" fontId="50" fillId="6" borderId="0" xfId="0" applyFont="1" applyFill="1" applyAlignment="1" applyProtection="1">
      <alignment vertical="center"/>
      <protection hidden="1"/>
    </xf>
    <xf numFmtId="0" fontId="9" fillId="0" borderId="0" xfId="0" applyFont="1" applyAlignment="1" applyProtection="1">
      <alignment wrapText="1"/>
      <protection hidden="1"/>
    </xf>
    <xf numFmtId="0" fontId="2" fillId="0" borderId="0" xfId="1" applyNumberFormat="1" applyFont="1" applyFill="1" applyBorder="1" applyAlignment="1" applyProtection="1">
      <protection hidden="1"/>
    </xf>
    <xf numFmtId="0" fontId="6" fillId="0" borderId="0" xfId="0" applyFont="1" applyAlignment="1" applyProtection="1">
      <alignment wrapText="1"/>
      <protection hidden="1"/>
    </xf>
    <xf numFmtId="0" fontId="5" fillId="0" borderId="0" xfId="0" applyFont="1" applyAlignment="1" applyProtection="1">
      <alignment horizontal="center" wrapText="1"/>
      <protection hidden="1"/>
    </xf>
    <xf numFmtId="0" fontId="56" fillId="0" borderId="0" xfId="0" applyFont="1" applyAlignment="1" applyProtection="1">
      <alignment vertical="center"/>
      <protection hidden="1"/>
    </xf>
    <xf numFmtId="0" fontId="2" fillId="3" borderId="11" xfId="0" applyFont="1" applyFill="1" applyBorder="1" applyAlignment="1" applyProtection="1">
      <alignment horizontal="right"/>
      <protection hidden="1"/>
    </xf>
    <xf numFmtId="0" fontId="3" fillId="3" borderId="3" xfId="0" applyFont="1" applyFill="1" applyBorder="1" applyAlignment="1" applyProtection="1">
      <alignment horizontal="right"/>
      <protection hidden="1"/>
    </xf>
    <xf numFmtId="0" fontId="3" fillId="3" borderId="0" xfId="0" applyFont="1" applyFill="1" applyAlignment="1" applyProtection="1">
      <alignment horizontal="right" vertical="center" wrapText="1"/>
      <protection hidden="1"/>
    </xf>
    <xf numFmtId="0" fontId="8" fillId="0" borderId="0" xfId="0" applyFont="1" applyAlignment="1" applyProtection="1">
      <alignment vertical="center" wrapText="1"/>
      <protection hidden="1"/>
    </xf>
    <xf numFmtId="0" fontId="3" fillId="3" borderId="0" xfId="0" applyFont="1" applyFill="1" applyAlignment="1" applyProtection="1">
      <alignment horizontal="right" wrapText="1"/>
      <protection hidden="1"/>
    </xf>
    <xf numFmtId="0" fontId="3" fillId="3" borderId="3" xfId="0" applyFont="1" applyFill="1" applyBorder="1" applyAlignment="1" applyProtection="1">
      <alignment horizontal="right" vertical="center"/>
      <protection hidden="1"/>
    </xf>
    <xf numFmtId="0" fontId="14" fillId="3" borderId="3" xfId="0" applyFont="1" applyFill="1" applyBorder="1" applyAlignment="1" applyProtection="1">
      <alignment horizontal="right" vertical="center"/>
      <protection hidden="1"/>
    </xf>
    <xf numFmtId="0" fontId="14" fillId="3" borderId="0" xfId="0" applyFont="1" applyFill="1" applyAlignment="1" applyProtection="1">
      <alignment horizontal="right" vertical="center"/>
      <protection hidden="1"/>
    </xf>
    <xf numFmtId="0" fontId="2" fillId="3" borderId="3" xfId="0" applyFont="1" applyFill="1" applyBorder="1" applyAlignment="1" applyProtection="1">
      <alignment horizontal="right" vertical="center"/>
      <protection hidden="1"/>
    </xf>
    <xf numFmtId="164" fontId="39" fillId="3" borderId="0" xfId="0" applyNumberFormat="1" applyFont="1" applyFill="1" applyAlignment="1" applyProtection="1">
      <alignment vertical="center"/>
      <protection hidden="1"/>
    </xf>
    <xf numFmtId="164" fontId="25" fillId="3" borderId="3" xfId="0" applyNumberFormat="1" applyFont="1" applyFill="1" applyBorder="1" applyAlignment="1" applyProtection="1">
      <alignment horizontal="right"/>
      <protection hidden="1"/>
    </xf>
    <xf numFmtId="164" fontId="26" fillId="3" borderId="0" xfId="0" applyNumberFormat="1" applyFont="1" applyFill="1" applyAlignment="1" applyProtection="1">
      <alignment horizontal="right" vertical="center"/>
      <protection hidden="1"/>
    </xf>
    <xf numFmtId="0" fontId="5" fillId="0" borderId="0" xfId="0" applyFont="1" applyAlignment="1" applyProtection="1">
      <alignment vertical="center"/>
      <protection hidden="1"/>
    </xf>
    <xf numFmtId="0" fontId="11" fillId="0" borderId="0" xfId="0" applyFont="1" applyAlignment="1" applyProtection="1">
      <alignment horizontal="center" vertical="center" wrapText="1"/>
      <protection hidden="1"/>
    </xf>
    <xf numFmtId="0" fontId="6" fillId="0" borderId="0" xfId="0" applyFont="1" applyProtection="1">
      <protection hidden="1"/>
    </xf>
    <xf numFmtId="0" fontId="10" fillId="0" borderId="0" xfId="0" applyFont="1" applyAlignment="1" applyProtection="1">
      <alignment horizontal="center" vertical="center" wrapText="1"/>
      <protection hidden="1"/>
    </xf>
    <xf numFmtId="164" fontId="38" fillId="0" borderId="0" xfId="0" applyNumberFormat="1" applyFont="1" applyAlignment="1" applyProtection="1">
      <alignment horizontal="right"/>
      <protection hidden="1"/>
    </xf>
    <xf numFmtId="164" fontId="41" fillId="0" borderId="0" xfId="0" applyNumberFormat="1" applyFont="1" applyAlignment="1" applyProtection="1">
      <alignment horizontal="center"/>
      <protection hidden="1"/>
    </xf>
    <xf numFmtId="164" fontId="37" fillId="0" borderId="0" xfId="0" applyNumberFormat="1" applyFont="1" applyAlignment="1" applyProtection="1">
      <alignment horizontal="left"/>
      <protection hidden="1"/>
    </xf>
    <xf numFmtId="164" fontId="37" fillId="0" borderId="0" xfId="0" applyNumberFormat="1" applyFont="1" applyAlignment="1" applyProtection="1">
      <alignment horizontal="right"/>
      <protection hidden="1"/>
    </xf>
    <xf numFmtId="164" fontId="37" fillId="0" borderId="0" xfId="0" applyNumberFormat="1" applyFont="1" applyProtection="1">
      <protection hidden="1"/>
    </xf>
    <xf numFmtId="164" fontId="38" fillId="0" borderId="0" xfId="0" applyNumberFormat="1" applyFont="1" applyAlignment="1" applyProtection="1">
      <alignment horizontal="left"/>
      <protection hidden="1"/>
    </xf>
    <xf numFmtId="0" fontId="2" fillId="0" borderId="0" xfId="1" applyNumberFormat="1" applyFont="1" applyFill="1" applyBorder="1" applyAlignment="1" applyProtection="1">
      <alignment vertical="center" wrapText="1"/>
      <protection hidden="1"/>
    </xf>
    <xf numFmtId="164" fontId="42" fillId="0" borderId="0" xfId="0" applyNumberFormat="1" applyFont="1" applyAlignment="1" applyProtection="1">
      <alignment horizontal="left" vertical="top" wrapText="1"/>
      <protection hidden="1"/>
    </xf>
    <xf numFmtId="164" fontId="43" fillId="0" borderId="0" xfId="0" applyNumberFormat="1" applyFont="1" applyAlignment="1" applyProtection="1">
      <alignment horizontal="right" vertical="top" wrapText="1"/>
      <protection hidden="1"/>
    </xf>
    <xf numFmtId="0" fontId="2" fillId="0" borderId="17" xfId="0" applyFont="1" applyBorder="1" applyAlignment="1" applyProtection="1">
      <alignment horizontal="left"/>
      <protection locked="0" hidden="1"/>
    </xf>
    <xf numFmtId="0" fontId="2" fillId="0" borderId="18" xfId="0" applyFont="1" applyBorder="1" applyAlignment="1" applyProtection="1">
      <alignment horizontal="left"/>
      <protection locked="0" hidden="1"/>
    </xf>
    <xf numFmtId="0" fontId="2" fillId="0" borderId="19" xfId="0" applyFont="1" applyBorder="1" applyAlignment="1" applyProtection="1">
      <alignment horizontal="left"/>
      <protection locked="0" hidden="1"/>
    </xf>
    <xf numFmtId="0" fontId="2" fillId="0" borderId="17" xfId="0" applyFont="1" applyBorder="1" applyProtection="1">
      <protection locked="0" hidden="1"/>
    </xf>
    <xf numFmtId="0" fontId="2" fillId="0" borderId="18" xfId="0" applyFont="1" applyBorder="1" applyProtection="1">
      <protection locked="0" hidden="1"/>
    </xf>
    <xf numFmtId="0" fontId="2" fillId="0" borderId="19" xfId="0" applyFont="1" applyBorder="1" applyProtection="1">
      <protection locked="0" hidden="1"/>
    </xf>
    <xf numFmtId="0" fontId="2" fillId="0" borderId="22" xfId="0" applyFont="1" applyBorder="1" applyProtection="1">
      <protection locked="0" hidden="1"/>
    </xf>
    <xf numFmtId="0" fontId="2" fillId="0" borderId="23" xfId="0" applyFont="1" applyBorder="1" applyProtection="1">
      <protection locked="0" hidden="1"/>
    </xf>
    <xf numFmtId="0" fontId="2" fillId="0" borderId="24" xfId="0" applyFont="1" applyBorder="1" applyProtection="1">
      <protection locked="0" hidden="1"/>
    </xf>
    <xf numFmtId="0" fontId="2" fillId="6" borderId="0" xfId="0" applyFont="1" applyFill="1" applyAlignment="1" applyProtection="1">
      <alignment horizontal="right" vertical="center"/>
      <protection hidden="1"/>
    </xf>
    <xf numFmtId="0" fontId="33" fillId="6" borderId="0" xfId="0" applyFont="1" applyFill="1" applyProtection="1">
      <protection hidden="1"/>
    </xf>
    <xf numFmtId="0" fontId="7" fillId="0" borderId="31" xfId="0" applyFont="1" applyBorder="1" applyAlignment="1" applyProtection="1">
      <alignment horizontal="center" vertical="center"/>
      <protection hidden="1"/>
    </xf>
    <xf numFmtId="0" fontId="47" fillId="0" borderId="31" xfId="0" applyFont="1" applyBorder="1" applyAlignment="1" applyProtection="1">
      <alignment horizontal="center" vertical="center"/>
      <protection hidden="1"/>
    </xf>
    <xf numFmtId="0" fontId="58" fillId="8" borderId="0" xfId="0" applyFont="1" applyFill="1"/>
    <xf numFmtId="0" fontId="0" fillId="0" borderId="34" xfId="0" applyBorder="1"/>
    <xf numFmtId="0" fontId="0" fillId="0" borderId="35" xfId="0" applyBorder="1"/>
    <xf numFmtId="0" fontId="0" fillId="0" borderId="37" xfId="0" applyBorder="1"/>
    <xf numFmtId="0" fontId="10" fillId="0" borderId="32" xfId="0" applyFont="1" applyBorder="1" applyAlignment="1" applyProtection="1">
      <alignment vertical="center" wrapText="1"/>
      <protection hidden="1"/>
    </xf>
    <xf numFmtId="0" fontId="2" fillId="0" borderId="32" xfId="0" applyFont="1" applyBorder="1" applyProtection="1">
      <protection hidden="1"/>
    </xf>
    <xf numFmtId="0" fontId="2" fillId="0" borderId="39" xfId="0" applyFont="1" applyBorder="1" applyProtection="1">
      <protection hidden="1"/>
    </xf>
    <xf numFmtId="0" fontId="2" fillId="9" borderId="31" xfId="0" applyFont="1" applyFill="1" applyBorder="1" applyAlignment="1" applyProtection="1">
      <alignment vertical="center"/>
      <protection hidden="1"/>
    </xf>
    <xf numFmtId="0" fontId="7" fillId="0" borderId="31" xfId="0" applyFont="1" applyBorder="1" applyAlignment="1" applyProtection="1">
      <alignment vertical="center"/>
      <protection hidden="1"/>
    </xf>
    <xf numFmtId="0" fontId="3" fillId="0" borderId="31" xfId="0" applyFont="1" applyBorder="1" applyAlignment="1" applyProtection="1">
      <alignment vertical="center" textRotation="90"/>
      <protection hidden="1"/>
    </xf>
    <xf numFmtId="0" fontId="2" fillId="9" borderId="6" xfId="0" applyFont="1" applyFill="1" applyBorder="1" applyAlignment="1" applyProtection="1">
      <alignment vertical="center"/>
      <protection hidden="1"/>
    </xf>
    <xf numFmtId="0" fontId="2" fillId="0" borderId="6" xfId="0" applyFont="1" applyBorder="1" applyAlignment="1" applyProtection="1">
      <alignment vertical="center"/>
      <protection hidden="1"/>
    </xf>
    <xf numFmtId="168" fontId="2" fillId="9" borderId="31" xfId="0" applyNumberFormat="1" applyFont="1" applyFill="1" applyBorder="1" applyAlignment="1" applyProtection="1">
      <alignment vertical="center"/>
      <protection hidden="1"/>
    </xf>
    <xf numFmtId="2" fontId="2" fillId="9" borderId="31" xfId="0" applyNumberFormat="1" applyFont="1" applyFill="1" applyBorder="1" applyAlignment="1" applyProtection="1">
      <alignment vertical="center"/>
      <protection hidden="1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4" fillId="6" borderId="0" xfId="0" applyFont="1" applyFill="1" applyProtection="1">
      <protection hidden="1"/>
    </xf>
    <xf numFmtId="0" fontId="2" fillId="6" borderId="0" xfId="0" applyFont="1" applyFill="1" applyAlignment="1" applyProtection="1">
      <alignment horizontal="right"/>
      <protection hidden="1"/>
    </xf>
    <xf numFmtId="0" fontId="36" fillId="6" borderId="0" xfId="0" applyFont="1" applyFill="1" applyAlignment="1" applyProtection="1">
      <alignment vertical="center"/>
      <protection hidden="1"/>
    </xf>
    <xf numFmtId="0" fontId="14" fillId="6" borderId="0" xfId="0" applyFont="1" applyFill="1" applyAlignment="1" applyProtection="1">
      <alignment horizontal="left"/>
      <protection hidden="1"/>
    </xf>
    <xf numFmtId="0" fontId="56" fillId="6" borderId="0" xfId="0" applyFont="1" applyFill="1" applyProtection="1">
      <protection hidden="1"/>
    </xf>
    <xf numFmtId="0" fontId="55" fillId="6" borderId="0" xfId="0" applyFont="1" applyFill="1" applyAlignment="1" applyProtection="1">
      <alignment horizontal="right"/>
      <protection hidden="1"/>
    </xf>
    <xf numFmtId="0" fontId="2" fillId="6" borderId="0" xfId="0" applyFont="1" applyFill="1" applyAlignment="1" applyProtection="1">
      <alignment vertical="top"/>
      <protection hidden="1"/>
    </xf>
    <xf numFmtId="0" fontId="0" fillId="6" borderId="0" xfId="0" applyFill="1" applyProtection="1">
      <protection hidden="1"/>
    </xf>
    <xf numFmtId="0" fontId="0" fillId="6" borderId="0" xfId="0" applyFill="1" applyAlignment="1" applyProtection="1">
      <alignment horizontal="right"/>
      <protection hidden="1"/>
    </xf>
    <xf numFmtId="0" fontId="0" fillId="6" borderId="1" xfId="0" applyFill="1" applyBorder="1" applyProtection="1">
      <protection hidden="1"/>
    </xf>
    <xf numFmtId="0" fontId="36" fillId="6" borderId="1" xfId="0" applyFont="1" applyFill="1" applyBorder="1" applyAlignment="1" applyProtection="1">
      <alignment vertical="center"/>
      <protection hidden="1"/>
    </xf>
    <xf numFmtId="0" fontId="4" fillId="6" borderId="0" xfId="0" applyFont="1" applyFill="1" applyAlignment="1" applyProtection="1">
      <alignment horizontal="left"/>
      <protection hidden="1"/>
    </xf>
    <xf numFmtId="0" fontId="13" fillId="6" borderId="0" xfId="0" applyFont="1" applyFill="1" applyAlignment="1" applyProtection="1">
      <alignment vertical="center"/>
      <protection hidden="1"/>
    </xf>
    <xf numFmtId="0" fontId="2" fillId="6" borderId="14" xfId="0" applyFont="1" applyFill="1" applyBorder="1" applyAlignment="1" applyProtection="1">
      <alignment horizontal="left"/>
      <protection locked="0" hidden="1"/>
    </xf>
    <xf numFmtId="0" fontId="2" fillId="6" borderId="15" xfId="0" applyFont="1" applyFill="1" applyBorder="1" applyAlignment="1" applyProtection="1">
      <alignment horizontal="left"/>
      <protection locked="0" hidden="1"/>
    </xf>
    <xf numFmtId="0" fontId="2" fillId="6" borderId="16" xfId="0" applyFont="1" applyFill="1" applyBorder="1" applyAlignment="1" applyProtection="1">
      <alignment horizontal="left"/>
      <protection locked="0" hidden="1"/>
    </xf>
    <xf numFmtId="0" fontId="14" fillId="6" borderId="0" xfId="0" applyFont="1" applyFill="1" applyProtection="1">
      <protection hidden="1"/>
    </xf>
    <xf numFmtId="0" fontId="2" fillId="6" borderId="25" xfId="0" applyFont="1" applyFill="1" applyBorder="1" applyAlignment="1" applyProtection="1">
      <alignment horizontal="left"/>
      <protection locked="0" hidden="1"/>
    </xf>
    <xf numFmtId="0" fontId="2" fillId="6" borderId="27" xfId="0" applyFont="1" applyFill="1" applyBorder="1" applyAlignment="1" applyProtection="1">
      <alignment horizontal="left"/>
      <protection locked="0" hidden="1"/>
    </xf>
    <xf numFmtId="0" fontId="2" fillId="6" borderId="29" xfId="0" applyFont="1" applyFill="1" applyBorder="1" applyAlignment="1" applyProtection="1">
      <alignment horizontal="left"/>
      <protection locked="0" hidden="1"/>
    </xf>
    <xf numFmtId="0" fontId="2" fillId="6" borderId="40" xfId="0" applyFont="1" applyFill="1" applyBorder="1" applyAlignment="1" applyProtection="1">
      <alignment horizontal="left"/>
      <protection locked="0" hidden="1"/>
    </xf>
    <xf numFmtId="0" fontId="2" fillId="6" borderId="41" xfId="0" applyFont="1" applyFill="1" applyBorder="1" applyAlignment="1" applyProtection="1">
      <alignment horizontal="left"/>
      <protection locked="0" hidden="1"/>
    </xf>
    <xf numFmtId="0" fontId="2" fillId="6" borderId="42" xfId="0" applyFont="1" applyFill="1" applyBorder="1" applyAlignment="1" applyProtection="1">
      <alignment horizontal="left"/>
      <protection locked="0" hidden="1"/>
    </xf>
    <xf numFmtId="0" fontId="2" fillId="6" borderId="41" xfId="3" applyNumberFormat="1" applyFont="1" applyFill="1" applyBorder="1" applyAlignment="1" applyProtection="1">
      <alignment horizontal="left"/>
      <protection locked="0" hidden="1"/>
    </xf>
    <xf numFmtId="0" fontId="2" fillId="6" borderId="26" xfId="0" applyFont="1" applyFill="1" applyBorder="1" applyAlignment="1" applyProtection="1">
      <alignment horizontal="left"/>
      <protection locked="0" hidden="1"/>
    </xf>
    <xf numFmtId="0" fontId="2" fillId="6" borderId="28" xfId="0" applyFont="1" applyFill="1" applyBorder="1" applyAlignment="1" applyProtection="1">
      <alignment horizontal="left"/>
      <protection locked="0" hidden="1"/>
    </xf>
    <xf numFmtId="0" fontId="2" fillId="6" borderId="28" xfId="3" applyNumberFormat="1" applyFont="1" applyFill="1" applyBorder="1" applyAlignment="1" applyProtection="1">
      <alignment horizontal="left"/>
      <protection locked="0" hidden="1"/>
    </xf>
    <xf numFmtId="0" fontId="2" fillId="6" borderId="30" xfId="0" applyFont="1" applyFill="1" applyBorder="1" applyAlignment="1" applyProtection="1">
      <alignment horizontal="left"/>
      <protection locked="0" hidden="1"/>
    </xf>
    <xf numFmtId="0" fontId="4" fillId="6" borderId="0" xfId="0" applyFont="1" applyFill="1" applyAlignment="1" applyProtection="1">
      <alignment wrapText="1"/>
      <protection hidden="1"/>
    </xf>
    <xf numFmtId="0" fontId="14" fillId="6" borderId="0" xfId="0" applyFont="1" applyFill="1" applyAlignment="1" applyProtection="1">
      <alignment vertical="center"/>
      <protection hidden="1"/>
    </xf>
    <xf numFmtId="0" fontId="15" fillId="6" borderId="0" xfId="0" applyFont="1" applyFill="1" applyAlignment="1" applyProtection="1">
      <alignment wrapText="1"/>
      <protection hidden="1"/>
    </xf>
    <xf numFmtId="0" fontId="14" fillId="6" borderId="0" xfId="0" applyFont="1" applyFill="1" applyAlignment="1" applyProtection="1">
      <alignment horizontal="center"/>
      <protection hidden="1"/>
    </xf>
    <xf numFmtId="0" fontId="2" fillId="6" borderId="0" xfId="0" applyFont="1" applyFill="1" applyAlignment="1" applyProtection="1">
      <alignment wrapText="1"/>
      <protection hidden="1"/>
    </xf>
    <xf numFmtId="0" fontId="47" fillId="6" borderId="31" xfId="0" applyFont="1" applyFill="1" applyBorder="1" applyAlignment="1" applyProtection="1">
      <alignment horizontal="center" vertical="center"/>
      <protection hidden="1"/>
    </xf>
    <xf numFmtId="0" fontId="2" fillId="6" borderId="31" xfId="0" applyFont="1" applyFill="1" applyBorder="1" applyAlignment="1" applyProtection="1">
      <alignment vertical="center"/>
      <protection hidden="1"/>
    </xf>
    <xf numFmtId="0" fontId="2" fillId="6" borderId="31" xfId="0" applyFont="1" applyFill="1" applyBorder="1" applyAlignment="1" applyProtection="1">
      <alignment horizontal="right" vertical="center" wrapText="1"/>
      <protection hidden="1"/>
    </xf>
    <xf numFmtId="0" fontId="44" fillId="6" borderId="31" xfId="0" applyFont="1" applyFill="1" applyBorder="1" applyAlignment="1" applyProtection="1">
      <alignment vertical="center"/>
      <protection hidden="1"/>
    </xf>
    <xf numFmtId="0" fontId="2" fillId="6" borderId="31" xfId="0" applyFont="1" applyFill="1" applyBorder="1" applyAlignment="1" applyProtection="1">
      <alignment horizontal="center" wrapText="1"/>
      <protection hidden="1"/>
    </xf>
    <xf numFmtId="0" fontId="4" fillId="6" borderId="31" xfId="0" applyFont="1" applyFill="1" applyBorder="1" applyAlignment="1" applyProtection="1">
      <alignment horizontal="center" vertical="center"/>
      <protection hidden="1"/>
    </xf>
    <xf numFmtId="0" fontId="4" fillId="6" borderId="31" xfId="0" applyFont="1" applyFill="1" applyBorder="1" applyAlignment="1" applyProtection="1">
      <alignment horizontal="center" vertical="center" wrapText="1"/>
      <protection hidden="1"/>
    </xf>
    <xf numFmtId="0" fontId="5" fillId="6" borderId="0" xfId="0" applyFont="1" applyFill="1" applyAlignment="1" applyProtection="1">
      <alignment vertical="center" wrapText="1"/>
      <protection hidden="1"/>
    </xf>
    <xf numFmtId="0" fontId="4" fillId="6" borderId="0" xfId="0" applyFont="1" applyFill="1" applyAlignment="1" applyProtection="1">
      <alignment vertical="center" wrapText="1"/>
      <protection hidden="1"/>
    </xf>
    <xf numFmtId="0" fontId="9" fillId="6" borderId="0" xfId="0" applyFont="1" applyFill="1" applyAlignment="1" applyProtection="1">
      <alignment vertical="center" wrapText="1"/>
      <protection hidden="1"/>
    </xf>
    <xf numFmtId="0" fontId="3" fillId="6" borderId="0" xfId="0" applyFont="1" applyFill="1" applyAlignment="1" applyProtection="1">
      <alignment wrapText="1"/>
      <protection hidden="1"/>
    </xf>
    <xf numFmtId="0" fontId="2" fillId="6" borderId="0" xfId="0" applyFont="1" applyFill="1" applyAlignment="1" applyProtection="1">
      <alignment vertical="center" wrapText="1"/>
      <protection hidden="1"/>
    </xf>
    <xf numFmtId="0" fontId="44" fillId="6" borderId="31" xfId="0" applyFont="1" applyFill="1" applyBorder="1" applyProtection="1">
      <protection hidden="1"/>
    </xf>
    <xf numFmtId="0" fontId="2" fillId="6" borderId="31" xfId="0" applyFont="1" applyFill="1" applyBorder="1" applyAlignment="1" applyProtection="1">
      <alignment horizontal="center"/>
      <protection hidden="1"/>
    </xf>
    <xf numFmtId="0" fontId="46" fillId="6" borderId="0" xfId="0" applyFont="1" applyFill="1" applyAlignment="1" applyProtection="1">
      <alignment vertical="center" wrapText="1"/>
      <protection hidden="1"/>
    </xf>
    <xf numFmtId="0" fontId="2" fillId="6" borderId="0" xfId="0" applyFont="1" applyFill="1" applyAlignment="1" applyProtection="1">
      <alignment vertical="top" wrapText="1"/>
      <protection hidden="1"/>
    </xf>
    <xf numFmtId="0" fontId="3" fillId="6" borderId="31" xfId="0" applyFont="1" applyFill="1" applyBorder="1" applyAlignment="1" applyProtection="1">
      <alignment vertical="center"/>
      <protection hidden="1"/>
    </xf>
    <xf numFmtId="0" fontId="16" fillId="6" borderId="31" xfId="0" applyFont="1" applyFill="1" applyBorder="1" applyAlignment="1" applyProtection="1">
      <alignment horizontal="center"/>
      <protection hidden="1"/>
    </xf>
    <xf numFmtId="0" fontId="8" fillId="6" borderId="0" xfId="0" applyFont="1" applyFill="1" applyAlignment="1" applyProtection="1">
      <alignment horizontal="right"/>
      <protection hidden="1"/>
    </xf>
    <xf numFmtId="0" fontId="6" fillId="6" borderId="31" xfId="0" applyFont="1" applyFill="1" applyBorder="1" applyAlignment="1" applyProtection="1">
      <alignment horizontal="center" vertical="center" wrapText="1"/>
      <protection hidden="1"/>
    </xf>
    <xf numFmtId="0" fontId="6" fillId="6" borderId="31" xfId="1" applyNumberFormat="1" applyFont="1" applyFill="1" applyBorder="1" applyAlignment="1" applyProtection="1">
      <alignment horizontal="center" vertical="center" wrapText="1"/>
      <protection hidden="1"/>
    </xf>
    <xf numFmtId="0" fontId="2" fillId="6" borderId="0" xfId="0" applyFont="1" applyFill="1" applyAlignment="1" applyProtection="1">
      <alignment horizontal="left"/>
      <protection hidden="1"/>
    </xf>
    <xf numFmtId="0" fontId="44" fillId="6" borderId="31" xfId="0" applyFont="1" applyFill="1" applyBorder="1" applyAlignment="1" applyProtection="1">
      <alignment horizontal="right" vertical="center" wrapText="1"/>
      <protection hidden="1"/>
    </xf>
    <xf numFmtId="0" fontId="44" fillId="6" borderId="31" xfId="0" applyFont="1" applyFill="1" applyBorder="1" applyAlignment="1" applyProtection="1">
      <alignment vertical="center" wrapText="1"/>
      <protection hidden="1"/>
    </xf>
    <xf numFmtId="0" fontId="6" fillId="6" borderId="0" xfId="0" applyFont="1" applyFill="1" applyAlignment="1" applyProtection="1">
      <alignment vertical="center" wrapText="1"/>
      <protection hidden="1"/>
    </xf>
    <xf numFmtId="0" fontId="6" fillId="6" borderId="0" xfId="0" applyFont="1" applyFill="1" applyProtection="1">
      <protection hidden="1"/>
    </xf>
    <xf numFmtId="0" fontId="2" fillId="6" borderId="31" xfId="0" applyFont="1" applyFill="1" applyBorder="1" applyAlignment="1" applyProtection="1">
      <alignment horizontal="right" vertical="center"/>
      <protection hidden="1"/>
    </xf>
    <xf numFmtId="0" fontId="4" fillId="6" borderId="31" xfId="0" applyFont="1" applyFill="1" applyBorder="1" applyAlignment="1" applyProtection="1">
      <alignment horizontal="right" vertical="center"/>
      <protection hidden="1"/>
    </xf>
    <xf numFmtId="0" fontId="7" fillId="6" borderId="31" xfId="0" applyFont="1" applyFill="1" applyBorder="1" applyAlignment="1" applyProtection="1">
      <alignment vertical="center" wrapText="1"/>
      <protection hidden="1"/>
    </xf>
    <xf numFmtId="0" fontId="7" fillId="6" borderId="0" xfId="0" applyFont="1" applyFill="1" applyAlignment="1" applyProtection="1">
      <alignment vertical="center" wrapText="1"/>
      <protection hidden="1"/>
    </xf>
    <xf numFmtId="0" fontId="5" fillId="6" borderId="0" xfId="0" applyFont="1" applyFill="1" applyAlignment="1" applyProtection="1">
      <alignment wrapText="1"/>
      <protection hidden="1"/>
    </xf>
    <xf numFmtId="0" fontId="2" fillId="6" borderId="31" xfId="1" applyNumberFormat="1" applyFont="1" applyFill="1" applyBorder="1" applyAlignment="1" applyProtection="1">
      <alignment horizontal="center" vertical="center" wrapText="1"/>
      <protection hidden="1"/>
    </xf>
    <xf numFmtId="0" fontId="2" fillId="6" borderId="31" xfId="0" applyFont="1" applyFill="1" applyBorder="1" applyAlignment="1" applyProtection="1">
      <alignment horizontal="center" vertical="center" wrapText="1"/>
      <protection hidden="1"/>
    </xf>
    <xf numFmtId="0" fontId="2" fillId="6" borderId="10" xfId="0" applyFont="1" applyFill="1" applyBorder="1" applyProtection="1">
      <protection locked="0" hidden="1"/>
    </xf>
    <xf numFmtId="0" fontId="2" fillId="6" borderId="11" xfId="0" applyFont="1" applyFill="1" applyBorder="1" applyProtection="1">
      <protection locked="0" hidden="1"/>
    </xf>
    <xf numFmtId="0" fontId="2" fillId="6" borderId="12" xfId="0" applyFont="1" applyFill="1" applyBorder="1" applyProtection="1">
      <protection locked="0" hidden="1"/>
    </xf>
    <xf numFmtId="0" fontId="2" fillId="6" borderId="3" xfId="0" applyFont="1" applyFill="1" applyBorder="1" applyProtection="1">
      <protection locked="0" hidden="1"/>
    </xf>
    <xf numFmtId="0" fontId="2" fillId="6" borderId="0" xfId="0" applyFont="1" applyFill="1" applyProtection="1">
      <protection locked="0" hidden="1"/>
    </xf>
    <xf numFmtId="0" fontId="2" fillId="6" borderId="2" xfId="0" applyFont="1" applyFill="1" applyBorder="1" applyProtection="1">
      <protection locked="0" hidden="1"/>
    </xf>
    <xf numFmtId="0" fontId="2" fillId="6" borderId="4" xfId="0" applyFont="1" applyFill="1" applyBorder="1" applyProtection="1">
      <protection hidden="1"/>
    </xf>
    <xf numFmtId="0" fontId="2" fillId="6" borderId="1" xfId="0" applyFont="1" applyFill="1" applyBorder="1" applyProtection="1">
      <protection hidden="1"/>
    </xf>
    <xf numFmtId="0" fontId="2" fillId="6" borderId="5" xfId="0" applyFont="1" applyFill="1" applyBorder="1" applyProtection="1">
      <protection hidden="1"/>
    </xf>
    <xf numFmtId="0" fontId="6" fillId="6" borderId="0" xfId="0" applyFont="1" applyFill="1" applyAlignment="1" applyProtection="1">
      <alignment horizontal="right" wrapText="1"/>
      <protection hidden="1"/>
    </xf>
    <xf numFmtId="0" fontId="6" fillId="6" borderId="0" xfId="0" applyFont="1" applyFill="1" applyAlignment="1" applyProtection="1">
      <alignment horizontal="center" wrapText="1"/>
      <protection hidden="1"/>
    </xf>
    <xf numFmtId="0" fontId="2" fillId="0" borderId="27" xfId="0" applyFont="1" applyBorder="1" applyAlignment="1" applyProtection="1">
      <alignment horizontal="left"/>
      <protection locked="0" hidden="1"/>
    </xf>
    <xf numFmtId="0" fontId="2" fillId="0" borderId="28" xfId="0" applyFont="1" applyBorder="1" applyAlignment="1" applyProtection="1">
      <alignment horizontal="left"/>
      <protection locked="0" hidden="1"/>
    </xf>
    <xf numFmtId="0" fontId="7" fillId="6" borderId="31" xfId="0" applyFont="1" applyFill="1" applyBorder="1" applyAlignment="1" applyProtection="1">
      <alignment horizontal="center" vertical="center" wrapText="1"/>
      <protection hidden="1"/>
    </xf>
    <xf numFmtId="0" fontId="46" fillId="0" borderId="31" xfId="0" applyFont="1" applyBorder="1" applyAlignment="1" applyProtection="1">
      <alignment horizontal="center" vertical="center"/>
      <protection hidden="1"/>
    </xf>
    <xf numFmtId="0" fontId="46" fillId="0" borderId="43" xfId="0" applyFont="1" applyBorder="1" applyAlignment="1" applyProtection="1">
      <alignment horizontal="center" vertical="center"/>
      <protection hidden="1"/>
    </xf>
    <xf numFmtId="43" fontId="2" fillId="6" borderId="0" xfId="0" applyNumberFormat="1" applyFont="1" applyFill="1" applyAlignment="1" applyProtection="1">
      <alignment horizontal="center"/>
      <protection hidden="1"/>
    </xf>
    <xf numFmtId="43" fontId="6" fillId="6" borderId="0" xfId="0" applyNumberFormat="1" applyFont="1" applyFill="1" applyAlignment="1" applyProtection="1">
      <alignment horizontal="center" vertical="center"/>
      <protection hidden="1"/>
    </xf>
    <xf numFmtId="0" fontId="14" fillId="6" borderId="0" xfId="0" applyFont="1" applyFill="1" applyAlignment="1" applyProtection="1">
      <alignment horizontal="center"/>
      <protection locked="0" hidden="1"/>
    </xf>
    <xf numFmtId="0" fontId="4" fillId="6" borderId="9" xfId="0" applyFont="1" applyFill="1" applyBorder="1" applyAlignment="1" applyProtection="1">
      <alignment horizontal="center"/>
      <protection locked="0" hidden="1"/>
    </xf>
    <xf numFmtId="14" fontId="4" fillId="6" borderId="9" xfId="0" applyNumberFormat="1" applyFont="1" applyFill="1" applyBorder="1" applyAlignment="1" applyProtection="1">
      <alignment horizontal="center"/>
      <protection locked="0" hidden="1"/>
    </xf>
    <xf numFmtId="0" fontId="50" fillId="6" borderId="0" xfId="0" applyFont="1" applyFill="1" applyAlignment="1" applyProtection="1">
      <alignment horizontal="center"/>
      <protection hidden="1"/>
    </xf>
    <xf numFmtId="0" fontId="13" fillId="6" borderId="1" xfId="0" applyFont="1" applyFill="1" applyBorder="1" applyAlignment="1" applyProtection="1">
      <alignment horizontal="center" vertical="center"/>
      <protection hidden="1"/>
    </xf>
    <xf numFmtId="0" fontId="34" fillId="3" borderId="0" xfId="0" applyFont="1" applyFill="1" applyAlignment="1" applyProtection="1">
      <alignment horizontal="center" vertical="center" wrapText="1"/>
      <protection hidden="1"/>
    </xf>
    <xf numFmtId="0" fontId="2" fillId="0" borderId="29" xfId="0" applyFont="1" applyBorder="1" applyAlignment="1" applyProtection="1">
      <alignment horizontal="left"/>
      <protection locked="0" hidden="1"/>
    </xf>
    <xf numFmtId="0" fontId="2" fillId="0" borderId="30" xfId="0" applyFont="1" applyBorder="1" applyAlignment="1" applyProtection="1">
      <alignment horizontal="left"/>
      <protection locked="0" hidden="1"/>
    </xf>
    <xf numFmtId="0" fontId="2" fillId="0" borderId="25" xfId="0" applyFont="1" applyBorder="1" applyAlignment="1" applyProtection="1">
      <alignment horizontal="left"/>
      <protection locked="0" hidden="1"/>
    </xf>
    <xf numFmtId="0" fontId="2" fillId="0" borderId="26" xfId="0" applyFont="1" applyBorder="1" applyAlignment="1" applyProtection="1">
      <alignment horizontal="left"/>
      <protection locked="0" hidden="1"/>
    </xf>
    <xf numFmtId="0" fontId="2" fillId="0" borderId="18" xfId="0" applyFont="1" applyBorder="1" applyAlignment="1" applyProtection="1">
      <alignment horizontal="left"/>
      <protection locked="0" hidden="1"/>
    </xf>
    <xf numFmtId="0" fontId="3" fillId="6" borderId="31" xfId="0" applyFont="1" applyFill="1" applyBorder="1" applyAlignment="1" applyProtection="1">
      <alignment horizontal="center" vertical="center" textRotation="90"/>
      <protection hidden="1"/>
    </xf>
    <xf numFmtId="0" fontId="2" fillId="6" borderId="31" xfId="0" applyFont="1" applyFill="1" applyBorder="1" applyAlignment="1" applyProtection="1">
      <alignment horizontal="center" vertical="center"/>
      <protection hidden="1"/>
    </xf>
    <xf numFmtId="0" fontId="2" fillId="6" borderId="31" xfId="0" applyFont="1" applyFill="1" applyBorder="1" applyAlignment="1" applyProtection="1">
      <alignment horizontal="right" vertical="center"/>
      <protection hidden="1"/>
    </xf>
    <xf numFmtId="0" fontId="4" fillId="6" borderId="31" xfId="0" applyFont="1" applyFill="1" applyBorder="1" applyAlignment="1" applyProtection="1">
      <alignment horizontal="right" vertical="center"/>
      <protection hidden="1"/>
    </xf>
    <xf numFmtId="0" fontId="3" fillId="0" borderId="31" xfId="0" applyFont="1" applyBorder="1" applyAlignment="1" applyProtection="1">
      <alignment horizontal="center" vertical="center" textRotation="90"/>
      <protection hidden="1"/>
    </xf>
    <xf numFmtId="0" fontId="2" fillId="0" borderId="19" xfId="0" applyFont="1" applyBorder="1" applyAlignment="1" applyProtection="1">
      <alignment horizontal="left"/>
      <protection locked="0" hidden="1"/>
    </xf>
    <xf numFmtId="0" fontId="2" fillId="0" borderId="31" xfId="0" applyFont="1" applyBorder="1" applyAlignment="1" applyProtection="1">
      <alignment horizontal="right" vertical="center"/>
      <protection hidden="1"/>
    </xf>
    <xf numFmtId="0" fontId="2" fillId="0" borderId="17" xfId="0" applyFont="1" applyBorder="1" applyAlignment="1" applyProtection="1">
      <alignment horizontal="left"/>
      <protection locked="0" hidden="1"/>
    </xf>
    <xf numFmtId="0" fontId="4" fillId="0" borderId="0" xfId="0" applyFont="1" applyAlignment="1" applyProtection="1">
      <alignment horizontal="center" vertical="center" wrapText="1"/>
      <protection hidden="1"/>
    </xf>
    <xf numFmtId="0" fontId="2" fillId="0" borderId="0" xfId="0" applyFont="1" applyAlignment="1" applyProtection="1">
      <alignment horizontal="center"/>
      <protection hidden="1"/>
    </xf>
    <xf numFmtId="0" fontId="3" fillId="6" borderId="31" xfId="0" applyFont="1" applyFill="1" applyBorder="1" applyAlignment="1" applyProtection="1">
      <alignment horizontal="center" vertical="center"/>
      <protection hidden="1"/>
    </xf>
    <xf numFmtId="0" fontId="49" fillId="6" borderId="3" xfId="0" applyFont="1" applyFill="1" applyBorder="1" applyAlignment="1" applyProtection="1">
      <alignment horizontal="center" vertical="center"/>
      <protection hidden="1"/>
    </xf>
    <xf numFmtId="0" fontId="49" fillId="6" borderId="0" xfId="0" applyFont="1" applyFill="1" applyAlignment="1" applyProtection="1">
      <alignment horizontal="center" vertical="center"/>
      <protection hidden="1"/>
    </xf>
    <xf numFmtId="0" fontId="49" fillId="6" borderId="2" xfId="0" applyFont="1" applyFill="1" applyBorder="1" applyAlignment="1" applyProtection="1">
      <alignment horizontal="center" vertical="center"/>
      <protection hidden="1"/>
    </xf>
    <xf numFmtId="0" fontId="49" fillId="6" borderId="4" xfId="0" applyFont="1" applyFill="1" applyBorder="1" applyAlignment="1" applyProtection="1">
      <alignment horizontal="center" vertical="center"/>
      <protection hidden="1"/>
    </xf>
    <xf numFmtId="0" fontId="49" fillId="6" borderId="1" xfId="0" applyFont="1" applyFill="1" applyBorder="1" applyAlignment="1" applyProtection="1">
      <alignment horizontal="center" vertical="center"/>
      <protection hidden="1"/>
    </xf>
    <xf numFmtId="0" fontId="49" fillId="6" borderId="5" xfId="0" applyFont="1" applyFill="1" applyBorder="1" applyAlignment="1" applyProtection="1">
      <alignment horizontal="center" vertical="center"/>
      <protection hidden="1"/>
    </xf>
    <xf numFmtId="0" fontId="29" fillId="3" borderId="0" xfId="0" applyFont="1" applyFill="1" applyAlignment="1" applyProtection="1">
      <alignment horizontal="left"/>
      <protection hidden="1"/>
    </xf>
    <xf numFmtId="0" fontId="28" fillId="3" borderId="0" xfId="0" applyFont="1" applyFill="1" applyAlignment="1" applyProtection="1">
      <alignment horizontal="left"/>
      <protection hidden="1"/>
    </xf>
    <xf numFmtId="0" fontId="32" fillId="3" borderId="0" xfId="0" applyFont="1" applyFill="1" applyAlignment="1" applyProtection="1">
      <alignment horizontal="left" vertical="center"/>
      <protection hidden="1"/>
    </xf>
    <xf numFmtId="0" fontId="32" fillId="3" borderId="2" xfId="0" applyFont="1" applyFill="1" applyBorder="1" applyAlignment="1" applyProtection="1">
      <alignment horizontal="left" vertical="center"/>
      <protection hidden="1"/>
    </xf>
    <xf numFmtId="43" fontId="27" fillId="3" borderId="0" xfId="1" applyFont="1" applyFill="1" applyBorder="1" applyAlignment="1" applyProtection="1">
      <alignment horizontal="right"/>
      <protection hidden="1"/>
    </xf>
    <xf numFmtId="0" fontId="31" fillId="3" borderId="0" xfId="0" applyFont="1" applyFill="1" applyAlignment="1" applyProtection="1">
      <alignment horizontal="left" vertical="top"/>
      <protection hidden="1"/>
    </xf>
    <xf numFmtId="2" fontId="27" fillId="3" borderId="0" xfId="0" applyNumberFormat="1" applyFont="1" applyFill="1" applyAlignment="1" applyProtection="1">
      <alignment horizontal="right" vertical="top"/>
      <protection hidden="1"/>
    </xf>
    <xf numFmtId="0" fontId="31" fillId="3" borderId="0" xfId="0" applyFont="1" applyFill="1" applyAlignment="1" applyProtection="1">
      <alignment horizontal="left"/>
      <protection hidden="1"/>
    </xf>
    <xf numFmtId="0" fontId="27" fillId="3" borderId="0" xfId="0" applyFont="1" applyFill="1" applyAlignment="1" applyProtection="1">
      <alignment horizontal="right"/>
      <protection hidden="1"/>
    </xf>
    <xf numFmtId="0" fontId="30" fillId="3" borderId="0" xfId="0" applyFont="1" applyFill="1" applyAlignment="1" applyProtection="1">
      <alignment horizontal="left"/>
      <protection hidden="1"/>
    </xf>
    <xf numFmtId="0" fontId="30" fillId="3" borderId="2" xfId="0" applyFont="1" applyFill="1" applyBorder="1" applyAlignment="1" applyProtection="1">
      <alignment horizontal="left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4" fillId="3" borderId="0" xfId="0" applyFont="1" applyFill="1" applyAlignment="1" applyProtection="1">
      <alignment horizontal="left"/>
      <protection hidden="1"/>
    </xf>
    <xf numFmtId="0" fontId="3" fillId="3" borderId="0" xfId="0" applyFont="1" applyFill="1" applyAlignment="1" applyProtection="1">
      <alignment horizontal="left"/>
      <protection hidden="1"/>
    </xf>
    <xf numFmtId="0" fontId="3" fillId="3" borderId="0" xfId="0" applyFont="1" applyFill="1" applyAlignment="1" applyProtection="1">
      <alignment horizontal="left" vertical="center"/>
      <protection hidden="1"/>
    </xf>
    <xf numFmtId="0" fontId="28" fillId="3" borderId="0" xfId="0" applyFont="1" applyFill="1" applyAlignment="1" applyProtection="1">
      <alignment horizontal="left" vertical="center"/>
      <protection hidden="1"/>
    </xf>
    <xf numFmtId="43" fontId="2" fillId="3" borderId="0" xfId="1" applyFont="1" applyFill="1" applyBorder="1" applyAlignment="1" applyProtection="1">
      <alignment horizontal="right" vertical="center"/>
      <protection hidden="1"/>
    </xf>
    <xf numFmtId="167" fontId="2" fillId="3" borderId="0" xfId="1" applyNumberFormat="1" applyFont="1" applyFill="1" applyBorder="1" applyAlignment="1" applyProtection="1">
      <alignment horizontal="right" vertical="center"/>
      <protection hidden="1"/>
    </xf>
    <xf numFmtId="167" fontId="2" fillId="3" borderId="0" xfId="1" applyNumberFormat="1" applyFont="1" applyFill="1" applyBorder="1" applyAlignment="1" applyProtection="1">
      <alignment horizontal="right"/>
      <protection hidden="1"/>
    </xf>
    <xf numFmtId="0" fontId="33" fillId="3" borderId="1" xfId="0" applyFont="1" applyFill="1" applyBorder="1" applyAlignment="1" applyProtection="1">
      <alignment horizontal="center"/>
      <protection hidden="1"/>
    </xf>
    <xf numFmtId="43" fontId="4" fillId="3" borderId="0" xfId="1" applyFont="1" applyFill="1" applyBorder="1" applyAlignment="1" applyProtection="1">
      <alignment horizontal="right"/>
      <protection hidden="1"/>
    </xf>
    <xf numFmtId="0" fontId="2" fillId="0" borderId="21" xfId="0" applyFont="1" applyBorder="1" applyAlignment="1" applyProtection="1">
      <alignment horizontal="left"/>
      <protection locked="0" hidden="1"/>
    </xf>
    <xf numFmtId="0" fontId="2" fillId="0" borderId="31" xfId="0" applyFont="1" applyBorder="1" applyAlignment="1" applyProtection="1">
      <alignment horizontal="center" vertical="center" wrapText="1"/>
      <protection hidden="1"/>
    </xf>
    <xf numFmtId="0" fontId="5" fillId="0" borderId="31" xfId="0" applyFont="1" applyBorder="1" applyAlignment="1" applyProtection="1">
      <alignment horizontal="center" vertical="center" wrapText="1"/>
      <protection hidden="1"/>
    </xf>
    <xf numFmtId="0" fontId="2" fillId="0" borderId="31" xfId="0" applyFont="1" applyBorder="1" applyAlignment="1" applyProtection="1">
      <alignment horizontal="center" vertical="center"/>
      <protection hidden="1"/>
    </xf>
    <xf numFmtId="0" fontId="4" fillId="0" borderId="31" xfId="0" applyFont="1" applyBorder="1" applyAlignment="1" applyProtection="1">
      <alignment horizontal="center" vertical="center"/>
      <protection hidden="1"/>
    </xf>
    <xf numFmtId="0" fontId="2" fillId="0" borderId="31" xfId="0" applyFont="1" applyBorder="1" applyAlignment="1" applyProtection="1">
      <alignment horizontal="center"/>
      <protection hidden="1"/>
    </xf>
    <xf numFmtId="0" fontId="4" fillId="0" borderId="31" xfId="0" applyFont="1" applyBorder="1" applyAlignment="1" applyProtection="1">
      <alignment horizontal="center" vertical="center" wrapText="1"/>
      <protection hidden="1"/>
    </xf>
    <xf numFmtId="0" fontId="11" fillId="0" borderId="31" xfId="0" applyFont="1" applyBorder="1" applyAlignment="1" applyProtection="1">
      <alignment horizontal="center" vertical="center" wrapText="1"/>
      <protection hidden="1"/>
    </xf>
    <xf numFmtId="0" fontId="44" fillId="0" borderId="31" xfId="0" applyFont="1" applyBorder="1" applyAlignment="1" applyProtection="1">
      <alignment horizontal="left"/>
      <protection hidden="1"/>
    </xf>
    <xf numFmtId="0" fontId="7" fillId="0" borderId="31" xfId="0" applyFont="1" applyBorder="1" applyAlignment="1" applyProtection="1">
      <alignment horizontal="center" vertical="center" wrapText="1"/>
      <protection hidden="1"/>
    </xf>
    <xf numFmtId="0" fontId="2" fillId="0" borderId="31" xfId="1" applyNumberFormat="1" applyFont="1" applyFill="1" applyBorder="1" applyAlignment="1" applyProtection="1">
      <alignment horizontal="center" vertical="center"/>
      <protection hidden="1"/>
    </xf>
    <xf numFmtId="0" fontId="44" fillId="0" borderId="31" xfId="0" applyFont="1" applyBorder="1" applyAlignment="1" applyProtection="1">
      <alignment horizontal="left" vertical="center" wrapText="1"/>
      <protection hidden="1"/>
    </xf>
    <xf numFmtId="0" fontId="44" fillId="0" borderId="31" xfId="0" applyFont="1" applyBorder="1" applyAlignment="1" applyProtection="1">
      <alignment horizontal="left" vertical="center"/>
      <protection hidden="1"/>
    </xf>
    <xf numFmtId="0" fontId="46" fillId="0" borderId="31" xfId="0" applyFont="1" applyBorder="1" applyAlignment="1" applyProtection="1">
      <alignment horizontal="left"/>
      <protection hidden="1"/>
    </xf>
    <xf numFmtId="0" fontId="46" fillId="0" borderId="31" xfId="0" applyFont="1" applyBorder="1" applyAlignment="1" applyProtection="1">
      <alignment horizontal="right" vertical="center"/>
      <protection hidden="1"/>
    </xf>
    <xf numFmtId="0" fontId="46" fillId="0" borderId="31" xfId="0" applyFont="1" applyBorder="1" applyAlignment="1" applyProtection="1">
      <alignment horizontal="left" vertical="center"/>
      <protection hidden="1"/>
    </xf>
    <xf numFmtId="0" fontId="46" fillId="0" borderId="31" xfId="0" applyFont="1" applyBorder="1" applyAlignment="1" applyProtection="1">
      <alignment horizontal="center" vertical="center" wrapText="1"/>
      <protection hidden="1"/>
    </xf>
    <xf numFmtId="0" fontId="46" fillId="4" borderId="31" xfId="0" applyFont="1" applyFill="1" applyBorder="1" applyAlignment="1" applyProtection="1">
      <alignment horizontal="left" vertical="center"/>
      <protection hidden="1"/>
    </xf>
    <xf numFmtId="0" fontId="7" fillId="0" borderId="31" xfId="0" applyFont="1" applyBorder="1" applyAlignment="1" applyProtection="1">
      <alignment horizontal="center" vertical="center"/>
      <protection hidden="1"/>
    </xf>
    <xf numFmtId="0" fontId="2" fillId="0" borderId="31" xfId="0" applyFont="1" applyBorder="1" applyAlignment="1" applyProtection="1">
      <protection hidden="1"/>
    </xf>
    <xf numFmtId="0" fontId="10" fillId="0" borderId="31" xfId="0" applyFont="1" applyBorder="1" applyAlignment="1" applyProtection="1">
      <alignment horizontal="center" vertical="center" wrapText="1"/>
      <protection hidden="1"/>
    </xf>
    <xf numFmtId="0" fontId="3" fillId="0" borderId="31" xfId="0" applyFont="1" applyBorder="1" applyAlignment="1" applyProtection="1">
      <alignment horizontal="center"/>
      <protection hidden="1"/>
    </xf>
    <xf numFmtId="0" fontId="46" fillId="4" borderId="31" xfId="0" applyFont="1" applyFill="1" applyBorder="1" applyAlignment="1" applyProtection="1">
      <alignment horizontal="left"/>
      <protection hidden="1"/>
    </xf>
    <xf numFmtId="0" fontId="2" fillId="0" borderId="0" xfId="0" applyFont="1" applyAlignment="1" applyProtection="1">
      <alignment horizontal="center" vertical="center" wrapText="1"/>
      <protection hidden="1"/>
    </xf>
    <xf numFmtId="0" fontId="2" fillId="0" borderId="31" xfId="0" applyFont="1" applyBorder="1" applyAlignment="1" applyProtection="1">
      <alignment horizontal="left" vertical="center"/>
      <protection hidden="1"/>
    </xf>
    <xf numFmtId="0" fontId="47" fillId="0" borderId="31" xfId="0" applyFont="1" applyBorder="1" applyAlignment="1" applyProtection="1">
      <alignment horizontal="center" vertical="center"/>
      <protection hidden="1"/>
    </xf>
    <xf numFmtId="0" fontId="3" fillId="0" borderId="31" xfId="0" applyFont="1" applyBorder="1" applyAlignment="1" applyProtection="1">
      <alignment horizontal="center" vertical="center"/>
      <protection hidden="1"/>
    </xf>
    <xf numFmtId="0" fontId="3" fillId="0" borderId="31" xfId="0" applyFont="1" applyBorder="1" applyAlignment="1" applyProtection="1">
      <alignment horizontal="center" vertical="center" wrapText="1"/>
      <protection hidden="1"/>
    </xf>
    <xf numFmtId="0" fontId="14" fillId="0" borderId="31" xfId="0" applyFont="1" applyBorder="1" applyAlignment="1" applyProtection="1">
      <alignment horizontal="center" vertical="center" wrapText="1"/>
      <protection hidden="1"/>
    </xf>
    <xf numFmtId="0" fontId="44" fillId="6" borderId="31" xfId="0" applyFont="1" applyFill="1" applyBorder="1" applyAlignment="1" applyProtection="1">
      <alignment horizontal="left" wrapText="1"/>
      <protection hidden="1"/>
    </xf>
    <xf numFmtId="0" fontId="4" fillId="0" borderId="31" xfId="0" applyFont="1" applyBorder="1" applyAlignment="1" applyProtection="1">
      <alignment horizontal="right" vertical="center"/>
      <protection hidden="1"/>
    </xf>
    <xf numFmtId="0" fontId="4" fillId="0" borderId="31" xfId="0" applyFont="1" applyBorder="1" applyAlignment="1" applyProtection="1">
      <alignment horizontal="center"/>
      <protection hidden="1"/>
    </xf>
    <xf numFmtId="0" fontId="2" fillId="6" borderId="31" xfId="0" applyFont="1" applyFill="1" applyBorder="1" applyAlignment="1" applyProtection="1">
      <alignment horizontal="center" vertical="center" wrapText="1"/>
      <protection hidden="1"/>
    </xf>
    <xf numFmtId="0" fontId="7" fillId="0" borderId="31" xfId="0" applyFont="1" applyBorder="1" applyAlignment="1" applyProtection="1">
      <alignment horizontal="right" vertical="center" wrapText="1"/>
      <protection hidden="1"/>
    </xf>
    <xf numFmtId="0" fontId="7" fillId="0" borderId="31" xfId="0" applyFont="1" applyBorder="1" applyAlignment="1" applyProtection="1">
      <alignment horizontal="right" wrapText="1"/>
      <protection hidden="1"/>
    </xf>
    <xf numFmtId="0" fontId="4" fillId="6" borderId="31" xfId="0" applyFont="1" applyFill="1" applyBorder="1" applyAlignment="1" applyProtection="1">
      <alignment horizontal="center" vertical="center"/>
      <protection hidden="1"/>
    </xf>
    <xf numFmtId="0" fontId="4" fillId="6" borderId="31" xfId="0" applyFont="1" applyFill="1" applyBorder="1" applyAlignment="1" applyProtection="1">
      <alignment horizontal="center" vertical="center" wrapText="1"/>
      <protection hidden="1"/>
    </xf>
    <xf numFmtId="0" fontId="7" fillId="6" borderId="31" xfId="0" applyFont="1" applyFill="1" applyBorder="1" applyAlignment="1" applyProtection="1">
      <alignment horizontal="right" wrapText="1"/>
      <protection hidden="1"/>
    </xf>
    <xf numFmtId="0" fontId="2" fillId="0" borderId="31" xfId="0" applyFont="1" applyBorder="1" applyAlignment="1" applyProtection="1">
      <alignment horizontal="right" wrapText="1"/>
      <protection hidden="1"/>
    </xf>
    <xf numFmtId="0" fontId="7" fillId="6" borderId="31" xfId="0" applyFont="1" applyFill="1" applyBorder="1" applyAlignment="1" applyProtection="1">
      <alignment horizontal="right" vertical="center" wrapText="1"/>
      <protection hidden="1"/>
    </xf>
    <xf numFmtId="0" fontId="44" fillId="0" borderId="31" xfId="0" applyFont="1" applyBorder="1" applyAlignment="1" applyProtection="1">
      <alignment horizontal="left" wrapText="1"/>
      <protection hidden="1"/>
    </xf>
    <xf numFmtId="0" fontId="6" fillId="0" borderId="0" xfId="0" applyFont="1" applyAlignment="1" applyProtection="1">
      <alignment horizontal="center" vertical="center" wrapText="1"/>
      <protection hidden="1"/>
    </xf>
    <xf numFmtId="0" fontId="6" fillId="0" borderId="0" xfId="0" applyFont="1" applyAlignment="1" applyProtection="1">
      <alignment horizontal="center" vertical="top" wrapText="1"/>
      <protection hidden="1"/>
    </xf>
    <xf numFmtId="0" fontId="15" fillId="0" borderId="31" xfId="0" applyFont="1" applyBorder="1" applyAlignment="1" applyProtection="1">
      <alignment horizontal="center"/>
      <protection hidden="1"/>
    </xf>
    <xf numFmtId="0" fontId="7" fillId="0" borderId="31" xfId="0" applyFont="1" applyBorder="1" applyAlignment="1" applyProtection="1">
      <alignment horizontal="center" wrapText="1"/>
      <protection hidden="1"/>
    </xf>
    <xf numFmtId="0" fontId="2" fillId="0" borderId="31" xfId="0" applyFont="1" applyBorder="1" applyAlignment="1" applyProtection="1">
      <alignment horizontal="left" wrapText="1"/>
      <protection hidden="1"/>
    </xf>
    <xf numFmtId="0" fontId="2" fillId="0" borderId="31" xfId="0" applyFont="1" applyBorder="1" applyAlignment="1" applyProtection="1">
      <alignment horizontal="center" wrapText="1"/>
      <protection hidden="1"/>
    </xf>
    <xf numFmtId="0" fontId="4" fillId="0" borderId="31" xfId="0" applyFont="1" applyBorder="1" applyAlignment="1" applyProtection="1">
      <alignment horizontal="center" wrapText="1"/>
      <protection hidden="1"/>
    </xf>
    <xf numFmtId="0" fontId="4" fillId="6" borderId="31" xfId="0" applyFont="1" applyFill="1" applyBorder="1" applyAlignment="1" applyProtection="1">
      <alignment horizontal="center" wrapText="1"/>
      <protection hidden="1"/>
    </xf>
    <xf numFmtId="0" fontId="55" fillId="4" borderId="31" xfId="0" applyFont="1" applyFill="1" applyBorder="1" applyAlignment="1" applyProtection="1">
      <alignment horizontal="right" vertical="center"/>
      <protection hidden="1"/>
    </xf>
    <xf numFmtId="0" fontId="46" fillId="0" borderId="31" xfId="0" applyFont="1" applyBorder="1" applyAlignment="1" applyProtection="1">
      <alignment horizontal="center"/>
      <protection hidden="1"/>
    </xf>
    <xf numFmtId="0" fontId="55" fillId="6" borderId="0" xfId="0" applyFont="1" applyFill="1" applyAlignment="1" applyProtection="1">
      <alignment horizontal="right"/>
      <protection hidden="1"/>
    </xf>
    <xf numFmtId="0" fontId="14" fillId="6" borderId="8" xfId="0" applyFont="1" applyFill="1" applyBorder="1" applyAlignment="1" applyProtection="1">
      <alignment horizontal="left"/>
      <protection locked="0" hidden="1"/>
    </xf>
    <xf numFmtId="167" fontId="2" fillId="0" borderId="6" xfId="1" applyNumberFormat="1" applyFont="1" applyFill="1" applyBorder="1" applyAlignment="1" applyProtection="1">
      <alignment horizontal="right" vertical="center"/>
      <protection locked="0" hidden="1"/>
    </xf>
    <xf numFmtId="167" fontId="2" fillId="0" borderId="7" xfId="1" applyNumberFormat="1" applyFont="1" applyFill="1" applyBorder="1" applyAlignment="1" applyProtection="1">
      <alignment horizontal="right" vertical="center"/>
      <protection locked="0" hidden="1"/>
    </xf>
    <xf numFmtId="0" fontId="2" fillId="0" borderId="6" xfId="0" applyFont="1" applyBorder="1" applyAlignment="1" applyProtection="1">
      <alignment horizontal="right" vertical="center"/>
      <protection locked="0" hidden="1"/>
    </xf>
    <xf numFmtId="0" fontId="2" fillId="0" borderId="7" xfId="0" applyFont="1" applyBorder="1" applyAlignment="1" applyProtection="1">
      <alignment horizontal="right" vertical="center"/>
      <protection locked="0" hidden="1"/>
    </xf>
    <xf numFmtId="0" fontId="21" fillId="3" borderId="3" xfId="2" applyNumberFormat="1" applyFont="1" applyFill="1" applyBorder="1" applyAlignment="1" applyProtection="1">
      <alignment horizontal="center"/>
      <protection hidden="1"/>
    </xf>
    <xf numFmtId="0" fontId="21" fillId="3" borderId="0" xfId="2" applyNumberFormat="1" applyFont="1" applyFill="1" applyBorder="1" applyAlignment="1" applyProtection="1">
      <alignment horizontal="center"/>
      <protection hidden="1"/>
    </xf>
    <xf numFmtId="0" fontId="2" fillId="0" borderId="20" xfId="0" applyFont="1" applyBorder="1" applyAlignment="1" applyProtection="1">
      <alignment horizontal="left"/>
      <protection locked="0" hidden="1"/>
    </xf>
    <xf numFmtId="0" fontId="35" fillId="2" borderId="10" xfId="0" applyFont="1" applyFill="1" applyBorder="1" applyAlignment="1" applyProtection="1">
      <alignment horizontal="center" vertical="center"/>
      <protection hidden="1"/>
    </xf>
    <xf numFmtId="0" fontId="35" fillId="2" borderId="11" xfId="0" applyFont="1" applyFill="1" applyBorder="1" applyAlignment="1" applyProtection="1">
      <alignment horizontal="center" vertical="center"/>
      <protection hidden="1"/>
    </xf>
    <xf numFmtId="0" fontId="35" fillId="2" borderId="12" xfId="0" applyFont="1" applyFill="1" applyBorder="1" applyAlignment="1" applyProtection="1">
      <alignment horizontal="center" vertical="center"/>
      <protection hidden="1"/>
    </xf>
    <xf numFmtId="0" fontId="35" fillId="2" borderId="4" xfId="0" applyFont="1" applyFill="1" applyBorder="1" applyAlignment="1" applyProtection="1">
      <alignment horizontal="center" vertical="center"/>
      <protection hidden="1"/>
    </xf>
    <xf numFmtId="0" fontId="35" fillId="2" borderId="1" xfId="0" applyFont="1" applyFill="1" applyBorder="1" applyAlignment="1" applyProtection="1">
      <alignment horizontal="center" vertical="center"/>
      <protection hidden="1"/>
    </xf>
    <xf numFmtId="0" fontId="35" fillId="2" borderId="5" xfId="0" applyFont="1" applyFill="1" applyBorder="1" applyAlignment="1" applyProtection="1">
      <alignment horizontal="center" vertical="center"/>
      <protection hidden="1"/>
    </xf>
    <xf numFmtId="0" fontId="49" fillId="6" borderId="10" xfId="0" applyFont="1" applyFill="1" applyBorder="1" applyAlignment="1" applyProtection="1">
      <alignment horizontal="center" vertical="center"/>
      <protection hidden="1"/>
    </xf>
    <xf numFmtId="0" fontId="49" fillId="6" borderId="11" xfId="0" applyFont="1" applyFill="1" applyBorder="1" applyAlignment="1" applyProtection="1">
      <alignment horizontal="center" vertical="center"/>
      <protection hidden="1"/>
    </xf>
    <xf numFmtId="0" fontId="49" fillId="6" borderId="12" xfId="0" applyFont="1" applyFill="1" applyBorder="1" applyAlignment="1" applyProtection="1">
      <alignment horizontal="center" vertical="center"/>
      <protection hidden="1"/>
    </xf>
    <xf numFmtId="0" fontId="3" fillId="3" borderId="0" xfId="0" applyFont="1" applyFill="1" applyAlignment="1" applyProtection="1">
      <alignment horizontal="right" vertical="center" wrapText="1"/>
      <protection hidden="1"/>
    </xf>
    <xf numFmtId="0" fontId="18" fillId="6" borderId="0" xfId="2" applyFill="1" applyBorder="1" applyAlignment="1" applyProtection="1">
      <alignment horizontal="center" vertical="center"/>
      <protection hidden="1"/>
    </xf>
    <xf numFmtId="165" fontId="2" fillId="0" borderId="6" xfId="0" applyNumberFormat="1" applyFont="1" applyBorder="1" applyAlignment="1" applyProtection="1">
      <alignment horizontal="right"/>
      <protection locked="0" hidden="1"/>
    </xf>
    <xf numFmtId="165" fontId="2" fillId="0" borderId="7" xfId="0" applyNumberFormat="1" applyFont="1" applyBorder="1" applyAlignment="1" applyProtection="1">
      <alignment horizontal="right"/>
      <protection locked="0" hidden="1"/>
    </xf>
    <xf numFmtId="167" fontId="4" fillId="3" borderId="0" xfId="1" applyNumberFormat="1" applyFont="1" applyFill="1" applyBorder="1" applyAlignment="1" applyProtection="1">
      <alignment horizontal="right" vertical="top"/>
      <protection hidden="1"/>
    </xf>
    <xf numFmtId="0" fontId="14" fillId="3" borderId="0" xfId="0" applyFont="1" applyFill="1" applyAlignment="1" applyProtection="1">
      <alignment horizontal="left"/>
      <protection hidden="1"/>
    </xf>
    <xf numFmtId="0" fontId="3" fillId="3" borderId="0" xfId="0" applyFont="1" applyFill="1" applyAlignment="1" applyProtection="1">
      <alignment horizontal="right" vertical="center"/>
      <protection hidden="1"/>
    </xf>
    <xf numFmtId="0" fontId="6" fillId="3" borderId="3" xfId="0" applyFont="1" applyFill="1" applyBorder="1" applyAlignment="1" applyProtection="1">
      <alignment horizontal="right" vertical="center"/>
      <protection hidden="1"/>
    </xf>
    <xf numFmtId="0" fontId="6" fillId="3" borderId="0" xfId="0" applyFont="1" applyFill="1" applyAlignment="1" applyProtection="1">
      <alignment horizontal="right" vertical="center"/>
      <protection hidden="1"/>
    </xf>
    <xf numFmtId="164" fontId="40" fillId="3" borderId="0" xfId="0" applyNumberFormat="1" applyFont="1" applyFill="1" applyAlignment="1" applyProtection="1">
      <alignment horizontal="right"/>
      <protection hidden="1"/>
    </xf>
    <xf numFmtId="164" fontId="39" fillId="3" borderId="3" xfId="0" applyNumberFormat="1" applyFont="1" applyFill="1" applyBorder="1" applyAlignment="1" applyProtection="1">
      <alignment horizontal="right" vertical="center" wrapText="1"/>
      <protection hidden="1"/>
    </xf>
    <xf numFmtId="164" fontId="39" fillId="3" borderId="0" xfId="0" applyNumberFormat="1" applyFont="1" applyFill="1" applyAlignment="1" applyProtection="1">
      <alignment horizontal="right" vertical="center" wrapText="1"/>
      <protection hidden="1"/>
    </xf>
    <xf numFmtId="0" fontId="3" fillId="3" borderId="3" xfId="0" applyFont="1" applyFill="1" applyBorder="1" applyAlignment="1" applyProtection="1">
      <alignment horizontal="right" vertical="center" wrapText="1"/>
      <protection hidden="1"/>
    </xf>
    <xf numFmtId="0" fontId="16" fillId="0" borderId="6" xfId="0" applyFont="1" applyBorder="1" applyAlignment="1" applyProtection="1">
      <alignment horizontal="right" vertical="center"/>
      <protection locked="0" hidden="1"/>
    </xf>
    <xf numFmtId="0" fontId="2" fillId="0" borderId="7" xfId="0" applyFont="1" applyBorder="1" applyAlignment="1" applyProtection="1">
      <alignment horizontal="right"/>
      <protection locked="0" hidden="1"/>
    </xf>
    <xf numFmtId="0" fontId="2" fillId="0" borderId="6" xfId="0" applyFont="1" applyBorder="1" applyAlignment="1" applyProtection="1">
      <alignment horizontal="right"/>
      <protection locked="0" hidden="1"/>
    </xf>
    <xf numFmtId="0" fontId="48" fillId="3" borderId="0" xfId="0" applyFont="1" applyFill="1" applyAlignment="1" applyProtection="1">
      <alignment horizontal="left"/>
      <protection hidden="1"/>
    </xf>
    <xf numFmtId="0" fontId="48" fillId="3" borderId="2" xfId="0" applyFont="1" applyFill="1" applyBorder="1" applyAlignment="1" applyProtection="1">
      <alignment horizontal="left"/>
      <protection hidden="1"/>
    </xf>
    <xf numFmtId="0" fontId="22" fillId="3" borderId="0" xfId="0" applyFont="1" applyFill="1" applyAlignment="1" applyProtection="1">
      <alignment horizontal="center"/>
      <protection hidden="1"/>
    </xf>
    <xf numFmtId="0" fontId="6" fillId="0" borderId="0" xfId="0" applyFont="1" applyAlignment="1" applyProtection="1">
      <alignment horizontal="center" vertical="center"/>
      <protection hidden="1"/>
    </xf>
    <xf numFmtId="2" fontId="27" fillId="3" borderId="0" xfId="0" applyNumberFormat="1" applyFont="1" applyFill="1" applyAlignment="1" applyProtection="1">
      <alignment horizontal="right"/>
      <protection hidden="1"/>
    </xf>
    <xf numFmtId="0" fontId="27" fillId="3" borderId="0" xfId="0" applyFont="1" applyFill="1" applyAlignment="1" applyProtection="1">
      <alignment horizontal="right" vertical="top"/>
      <protection hidden="1"/>
    </xf>
    <xf numFmtId="0" fontId="20" fillId="3" borderId="0" xfId="0" applyFont="1" applyFill="1" applyAlignment="1" applyProtection="1">
      <alignment horizontal="right"/>
      <protection hidden="1"/>
    </xf>
    <xf numFmtId="167" fontId="4" fillId="3" borderId="0" xfId="1" applyNumberFormat="1" applyFont="1" applyFill="1" applyBorder="1" applyAlignment="1" applyProtection="1">
      <alignment horizontal="right"/>
      <protection hidden="1"/>
    </xf>
    <xf numFmtId="0" fontId="34" fillId="3" borderId="3" xfId="0" applyFont="1" applyFill="1" applyBorder="1" applyAlignment="1" applyProtection="1">
      <alignment horizontal="center" vertical="center" wrapText="1"/>
      <protection hidden="1"/>
    </xf>
    <xf numFmtId="0" fontId="34" fillId="3" borderId="2" xfId="0" applyFont="1" applyFill="1" applyBorder="1" applyAlignment="1" applyProtection="1">
      <alignment horizontal="center" vertical="center" wrapText="1"/>
      <protection hidden="1"/>
    </xf>
    <xf numFmtId="0" fontId="47" fillId="6" borderId="31" xfId="0" applyFont="1" applyFill="1" applyBorder="1" applyAlignment="1" applyProtection="1">
      <alignment horizontal="center" vertical="center"/>
      <protection hidden="1"/>
    </xf>
    <xf numFmtId="0" fontId="7" fillId="6" borderId="31" xfId="0" applyFont="1" applyFill="1" applyBorder="1" applyAlignment="1" applyProtection="1">
      <alignment horizontal="center" vertical="center"/>
      <protection hidden="1"/>
    </xf>
    <xf numFmtId="0" fontId="2" fillId="9" borderId="31" xfId="0" applyFont="1" applyFill="1" applyBorder="1" applyAlignment="1" applyProtection="1">
      <alignment horizontal="right" vertical="center"/>
      <protection hidden="1"/>
    </xf>
    <xf numFmtId="0" fontId="2" fillId="6" borderId="18" xfId="0" applyFont="1" applyFill="1" applyBorder="1" applyAlignment="1" applyProtection="1">
      <alignment horizontal="left"/>
      <protection locked="0" hidden="1"/>
    </xf>
    <xf numFmtId="0" fontId="2" fillId="6" borderId="17" xfId="0" applyFont="1" applyFill="1" applyBorder="1" applyAlignment="1" applyProtection="1">
      <alignment horizontal="left"/>
      <protection locked="0" hidden="1"/>
    </xf>
    <xf numFmtId="2" fontId="2" fillId="0" borderId="17" xfId="0" applyNumberFormat="1" applyFont="1" applyBorder="1" applyAlignment="1" applyProtection="1">
      <alignment horizontal="left"/>
      <protection locked="0" hidden="1"/>
    </xf>
    <xf numFmtId="0" fontId="2" fillId="6" borderId="31" xfId="0" applyFont="1" applyFill="1" applyBorder="1" applyAlignment="1" applyProtection="1">
      <alignment horizontal="center"/>
      <protection hidden="1"/>
    </xf>
    <xf numFmtId="0" fontId="2" fillId="6" borderId="19" xfId="0" applyFont="1" applyFill="1" applyBorder="1" applyAlignment="1" applyProtection="1">
      <alignment horizontal="left"/>
      <protection locked="0" hidden="1"/>
    </xf>
    <xf numFmtId="9" fontId="2" fillId="0" borderId="18" xfId="0" applyNumberFormat="1" applyFont="1" applyBorder="1" applyAlignment="1" applyProtection="1">
      <alignment horizontal="left"/>
      <protection locked="0" hidden="1"/>
    </xf>
    <xf numFmtId="43" fontId="2" fillId="0" borderId="18" xfId="0" applyNumberFormat="1" applyFont="1" applyBorder="1" applyAlignment="1" applyProtection="1">
      <alignment horizontal="left"/>
      <protection locked="0" hidden="1"/>
    </xf>
    <xf numFmtId="0" fontId="34" fillId="3" borderId="3" xfId="0" applyFont="1" applyFill="1" applyBorder="1" applyAlignment="1" applyProtection="1">
      <alignment horizontal="center" vertical="top" wrapText="1"/>
      <protection hidden="1"/>
    </xf>
    <xf numFmtId="0" fontId="34" fillId="3" borderId="0" xfId="0" applyFont="1" applyFill="1" applyAlignment="1" applyProtection="1">
      <alignment horizontal="center" vertical="top" wrapText="1"/>
      <protection hidden="1"/>
    </xf>
    <xf numFmtId="164" fontId="25" fillId="3" borderId="0" xfId="0" applyNumberFormat="1" applyFont="1" applyFill="1" applyAlignment="1" applyProtection="1">
      <alignment horizontal="right" vertical="center"/>
      <protection hidden="1"/>
    </xf>
    <xf numFmtId="0" fontId="7" fillId="0" borderId="0" xfId="0" applyFont="1" applyAlignment="1" applyProtection="1">
      <alignment horizontal="right" vertical="center" wrapText="1"/>
      <protection hidden="1"/>
    </xf>
    <xf numFmtId="0" fontId="7" fillId="0" borderId="0" xfId="0" applyFont="1" applyAlignment="1" applyProtection="1">
      <alignment horizontal="right" wrapText="1"/>
      <protection hidden="1"/>
    </xf>
    <xf numFmtId="0" fontId="44" fillId="0" borderId="31" xfId="0" applyFont="1" applyBorder="1" applyAlignment="1" applyProtection="1">
      <alignment horizontal="right" vertical="center" wrapText="1"/>
      <protection hidden="1"/>
    </xf>
    <xf numFmtId="43" fontId="7" fillId="6" borderId="0" xfId="0" applyNumberFormat="1" applyFont="1" applyFill="1" applyAlignment="1" applyProtection="1">
      <alignment horizontal="center"/>
      <protection hidden="1"/>
    </xf>
    <xf numFmtId="0" fontId="6" fillId="6" borderId="0" xfId="0" applyFont="1" applyFill="1" applyAlignment="1" applyProtection="1">
      <alignment horizontal="right"/>
      <protection hidden="1"/>
    </xf>
    <xf numFmtId="0" fontId="44" fillId="3" borderId="0" xfId="0" applyFont="1" applyFill="1" applyAlignment="1" applyProtection="1">
      <alignment horizontal="left"/>
      <protection hidden="1"/>
    </xf>
    <xf numFmtId="0" fontId="6" fillId="3" borderId="0" xfId="0" applyFont="1" applyFill="1" applyAlignment="1" applyProtection="1">
      <alignment horizontal="center" vertical="top"/>
      <protection hidden="1"/>
    </xf>
    <xf numFmtId="0" fontId="47" fillId="3" borderId="0" xfId="0" applyFont="1" applyFill="1" applyAlignment="1" applyProtection="1">
      <alignment horizontal="center" vertical="top"/>
      <protection hidden="1"/>
    </xf>
    <xf numFmtId="0" fontId="6" fillId="6" borderId="0" xfId="0" applyFont="1" applyFill="1" applyAlignment="1" applyProtection="1">
      <alignment horizontal="center"/>
      <protection hidden="1"/>
    </xf>
    <xf numFmtId="0" fontId="6" fillId="3" borderId="0" xfId="0" applyFont="1" applyFill="1" applyAlignment="1" applyProtection="1">
      <alignment horizontal="left"/>
      <protection hidden="1"/>
    </xf>
    <xf numFmtId="0" fontId="2" fillId="3" borderId="0" xfId="0" applyFont="1" applyFill="1" applyAlignment="1" applyProtection="1">
      <alignment horizontal="center"/>
      <protection hidden="1"/>
    </xf>
    <xf numFmtId="43" fontId="4" fillId="6" borderId="0" xfId="1" applyFont="1" applyFill="1" applyBorder="1" applyAlignment="1" applyProtection="1">
      <alignment vertical="center"/>
      <protection hidden="1"/>
    </xf>
    <xf numFmtId="0" fontId="44" fillId="6" borderId="31" xfId="0" applyFont="1" applyFill="1" applyBorder="1" applyAlignment="1" applyProtection="1">
      <alignment horizontal="right" vertical="center" wrapText="1"/>
      <protection hidden="1"/>
    </xf>
    <xf numFmtId="0" fontId="49" fillId="6" borderId="0" xfId="0" applyFont="1" applyFill="1" applyAlignment="1" applyProtection="1">
      <alignment horizontal="center"/>
      <protection hidden="1"/>
    </xf>
    <xf numFmtId="0" fontId="19" fillId="3" borderId="3" xfId="0" applyFont="1" applyFill="1" applyBorder="1" applyAlignment="1" applyProtection="1">
      <alignment horizontal="center" vertical="center" wrapText="1"/>
      <protection hidden="1"/>
    </xf>
    <xf numFmtId="0" fontId="19" fillId="3" borderId="0" xfId="0" applyFont="1" applyFill="1" applyAlignment="1" applyProtection="1">
      <alignment horizontal="center" vertical="center" wrapText="1"/>
      <protection hidden="1"/>
    </xf>
    <xf numFmtId="0" fontId="18" fillId="6" borderId="0" xfId="2" applyFill="1" applyAlignment="1" applyProtection="1">
      <alignment horizontal="center"/>
      <protection hidden="1"/>
    </xf>
    <xf numFmtId="167" fontId="7" fillId="6" borderId="0" xfId="0" applyNumberFormat="1" applyFont="1" applyFill="1" applyAlignment="1" applyProtection="1">
      <alignment horizontal="center"/>
      <protection hidden="1"/>
    </xf>
    <xf numFmtId="0" fontId="2" fillId="3" borderId="0" xfId="0" applyFont="1" applyFill="1" applyAlignment="1" applyProtection="1">
      <alignment horizontal="left"/>
      <protection hidden="1"/>
    </xf>
    <xf numFmtId="167" fontId="7" fillId="6" borderId="0" xfId="0" applyNumberFormat="1" applyFont="1" applyFill="1" applyAlignment="1" applyProtection="1">
      <alignment horizontal="right"/>
      <protection hidden="1"/>
    </xf>
    <xf numFmtId="0" fontId="44" fillId="3" borderId="0" xfId="0" applyFont="1" applyFill="1" applyAlignment="1" applyProtection="1">
      <alignment horizontal="center"/>
      <protection hidden="1"/>
    </xf>
    <xf numFmtId="0" fontId="57" fillId="6" borderId="10" xfId="0" applyFont="1" applyFill="1" applyBorder="1" applyAlignment="1" applyProtection="1">
      <alignment horizontal="center" vertical="center"/>
      <protection hidden="1"/>
    </xf>
    <xf numFmtId="0" fontId="57" fillId="6" borderId="11" xfId="0" applyFont="1" applyFill="1" applyBorder="1" applyAlignment="1" applyProtection="1">
      <alignment horizontal="center" vertical="center"/>
      <protection hidden="1"/>
    </xf>
    <xf numFmtId="0" fontId="57" fillId="6" borderId="12" xfId="0" applyFont="1" applyFill="1" applyBorder="1" applyAlignment="1" applyProtection="1">
      <alignment horizontal="center" vertical="center"/>
      <protection hidden="1"/>
    </xf>
    <xf numFmtId="0" fontId="57" fillId="6" borderId="4" xfId="0" applyFont="1" applyFill="1" applyBorder="1" applyAlignment="1" applyProtection="1">
      <alignment horizontal="center" vertical="center"/>
      <protection hidden="1"/>
    </xf>
    <xf numFmtId="0" fontId="57" fillId="6" borderId="1" xfId="0" applyFont="1" applyFill="1" applyBorder="1" applyAlignment="1" applyProtection="1">
      <alignment horizontal="center" vertical="center"/>
      <protection hidden="1"/>
    </xf>
    <xf numFmtId="0" fontId="57" fillId="6" borderId="5" xfId="0" applyFont="1" applyFill="1" applyBorder="1" applyAlignment="1" applyProtection="1">
      <alignment horizontal="center" vertical="center"/>
      <protection hidden="1"/>
    </xf>
    <xf numFmtId="0" fontId="54" fillId="6" borderId="10" xfId="0" applyFont="1" applyFill="1" applyBorder="1" applyAlignment="1" applyProtection="1">
      <alignment horizontal="center" vertical="center"/>
      <protection hidden="1"/>
    </xf>
    <xf numFmtId="0" fontId="54" fillId="6" borderId="11" xfId="0" applyFont="1" applyFill="1" applyBorder="1" applyAlignment="1" applyProtection="1">
      <alignment horizontal="center" vertical="center"/>
      <protection hidden="1"/>
    </xf>
    <xf numFmtId="0" fontId="54" fillId="6" borderId="12" xfId="0" applyFont="1" applyFill="1" applyBorder="1" applyAlignment="1" applyProtection="1">
      <alignment horizontal="center" vertical="center"/>
      <protection hidden="1"/>
    </xf>
    <xf numFmtId="0" fontId="54" fillId="6" borderId="4" xfId="0" applyFont="1" applyFill="1" applyBorder="1" applyAlignment="1" applyProtection="1">
      <alignment horizontal="center" vertical="center"/>
      <protection hidden="1"/>
    </xf>
    <xf numFmtId="0" fontId="54" fillId="6" borderId="1" xfId="0" applyFont="1" applyFill="1" applyBorder="1" applyAlignment="1" applyProtection="1">
      <alignment horizontal="center" vertical="center"/>
      <protection hidden="1"/>
    </xf>
    <xf numFmtId="0" fontId="54" fillId="6" borderId="5" xfId="0" applyFont="1" applyFill="1" applyBorder="1" applyAlignment="1" applyProtection="1">
      <alignment horizontal="center" vertical="center"/>
      <protection hidden="1"/>
    </xf>
    <xf numFmtId="0" fontId="18" fillId="7" borderId="33" xfId="2" applyFill="1" applyBorder="1" applyAlignment="1" applyProtection="1">
      <alignment horizontal="center" vertical="center"/>
      <protection locked="0" hidden="1"/>
    </xf>
    <xf numFmtId="0" fontId="18" fillId="7" borderId="34" xfId="2" applyFill="1" applyBorder="1" applyAlignment="1" applyProtection="1">
      <alignment horizontal="center" vertical="center"/>
      <protection locked="0" hidden="1"/>
    </xf>
    <xf numFmtId="0" fontId="18" fillId="7" borderId="35" xfId="2" applyFill="1" applyBorder="1" applyAlignment="1" applyProtection="1">
      <alignment horizontal="center" vertical="center"/>
      <protection locked="0" hidden="1"/>
    </xf>
    <xf numFmtId="0" fontId="18" fillId="7" borderId="36" xfId="2" applyFill="1" applyBorder="1" applyAlignment="1" applyProtection="1">
      <alignment horizontal="center" vertical="center"/>
      <protection locked="0" hidden="1"/>
    </xf>
    <xf numFmtId="0" fontId="18" fillId="7" borderId="0" xfId="2" applyFill="1" applyBorder="1" applyAlignment="1" applyProtection="1">
      <alignment horizontal="center" vertical="center"/>
      <protection locked="0" hidden="1"/>
    </xf>
    <xf numFmtId="0" fontId="18" fillId="7" borderId="37" xfId="2" applyFill="1" applyBorder="1" applyAlignment="1" applyProtection="1">
      <alignment horizontal="center" vertical="center"/>
      <protection locked="0" hidden="1"/>
    </xf>
    <xf numFmtId="0" fontId="18" fillId="7" borderId="38" xfId="2" applyFill="1" applyBorder="1" applyAlignment="1" applyProtection="1">
      <alignment horizontal="center" vertical="center"/>
      <protection locked="0" hidden="1"/>
    </xf>
    <xf numFmtId="0" fontId="18" fillId="7" borderId="32" xfId="2" applyFill="1" applyBorder="1" applyAlignment="1" applyProtection="1">
      <alignment horizontal="center" vertical="center"/>
      <protection locked="0" hidden="1"/>
    </xf>
    <xf numFmtId="0" fontId="18" fillId="7" borderId="39" xfId="2" applyFill="1" applyBorder="1" applyAlignment="1" applyProtection="1">
      <alignment horizontal="center" vertical="center"/>
      <protection locked="0" hidden="1"/>
    </xf>
    <xf numFmtId="167" fontId="4" fillId="6" borderId="0" xfId="1" applyNumberFormat="1" applyFont="1" applyFill="1" applyBorder="1" applyAlignment="1" applyProtection="1">
      <alignment vertical="center"/>
      <protection hidden="1"/>
    </xf>
    <xf numFmtId="2" fontId="4" fillId="3" borderId="0" xfId="0" applyNumberFormat="1" applyFont="1" applyFill="1" applyAlignment="1" applyProtection="1">
      <alignment horizontal="right"/>
      <protection hidden="1"/>
    </xf>
    <xf numFmtId="167" fontId="2" fillId="3" borderId="0" xfId="1" applyNumberFormat="1" applyFont="1" applyFill="1" applyBorder="1" applyAlignment="1" applyProtection="1">
      <alignment horizontal="right" vertical="center" wrapText="1"/>
      <protection hidden="1"/>
    </xf>
    <xf numFmtId="0" fontId="14" fillId="3" borderId="0" xfId="0" applyFont="1" applyFill="1" applyAlignment="1" applyProtection="1">
      <alignment horizontal="right"/>
      <protection hidden="1"/>
    </xf>
    <xf numFmtId="0" fontId="14" fillId="3" borderId="0" xfId="0" applyFont="1" applyFill="1" applyAlignment="1" applyProtection="1">
      <alignment horizontal="right" vertical="center" wrapText="1"/>
      <protection hidden="1"/>
    </xf>
    <xf numFmtId="167" fontId="6" fillId="3" borderId="0" xfId="0" applyNumberFormat="1" applyFont="1" applyFill="1" applyAlignment="1" applyProtection="1">
      <alignment horizontal="center" vertical="center" wrapText="1"/>
      <protection hidden="1"/>
    </xf>
  </cellXfs>
  <cellStyles count="4">
    <cellStyle name="Comma" xfId="1" builtinId="3"/>
    <cellStyle name="Hyperlink" xfId="2" builtinId="8"/>
    <cellStyle name="Normal" xfId="0" builtinId="0"/>
    <cellStyle name="Percent" xfId="3" builtinId="5"/>
  </cellStyles>
  <dxfs count="21"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color rgb="FFC00000"/>
      </font>
      <fill>
        <patternFill>
          <bgColor theme="5" tint="0.79998168889431442"/>
        </patternFill>
      </fill>
      <border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</dxf>
    <dxf>
      <font>
        <color auto="1"/>
      </font>
    </dxf>
    <dxf>
      <border>
        <bottom style="thin">
          <color auto="1"/>
        </bottom>
        <vertical/>
        <horizontal/>
      </border>
    </dxf>
    <dxf>
      <font>
        <color rgb="FFC00000"/>
      </font>
      <fill>
        <patternFill>
          <bgColor theme="5" tint="0.79998168889431442"/>
        </patternFill>
      </fill>
      <border>
        <vertical/>
        <horizontal/>
      </border>
    </dxf>
    <dxf>
      <font>
        <color rgb="FFC00000"/>
      </font>
      <fill>
        <patternFill>
          <bgColor theme="5" tint="0.79998168889431442"/>
        </patternFill>
      </fill>
      <border>
        <vertical/>
        <horizontal/>
      </border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b/>
        <i val="0"/>
        <color rgb="FFC00000"/>
      </font>
      <fill>
        <patternFill patternType="none">
          <bgColor auto="1"/>
        </patternFill>
      </fill>
      <border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auto="1"/>
      </font>
    </dxf>
    <dxf>
      <font>
        <b/>
        <i val="0"/>
        <color rgb="FFC00000"/>
      </font>
      <fill>
        <patternFill patternType="none">
          <bgColor auto="1"/>
        </patternFill>
      </fill>
      <border>
        <vertical/>
        <horizontal/>
      </border>
    </dxf>
  </dxfs>
  <tableStyles count="0" defaultTableStyle="TableStyleMedium9" defaultPivotStyle="PivotStyleLight16"/>
  <colors>
    <mruColors>
      <color rgb="FF399AB5"/>
      <color rgb="FFF9B95B"/>
      <color rgb="FFF7C093"/>
      <color rgb="FFEABA8A"/>
      <color rgb="FFDCC6A8"/>
      <color rgb="FFD2B58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jp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11" Type="http://schemas.openxmlformats.org/officeDocument/2006/relationships/image" Target="../media/image11.sv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98136</xdr:colOff>
      <xdr:row>29</xdr:row>
      <xdr:rowOff>82467</xdr:rowOff>
    </xdr:from>
    <xdr:to>
      <xdr:col>30</xdr:col>
      <xdr:colOff>309428</xdr:colOff>
      <xdr:row>34</xdr:row>
      <xdr:rowOff>44591</xdr:rowOff>
    </xdr:to>
    <xdr:sp macro="" textlink="">
      <xdr:nvSpPr>
        <xdr:cNvPr id="72" name="Cube 71">
          <a:extLst>
            <a:ext uri="{FF2B5EF4-FFF2-40B4-BE49-F238E27FC236}">
              <a16:creationId xmlns:a16="http://schemas.microsoft.com/office/drawing/2014/main" id="{FE6381A2-E907-4AA9-B103-24FFE0059737}"/>
            </a:ext>
          </a:extLst>
        </xdr:cNvPr>
        <xdr:cNvSpPr/>
      </xdr:nvSpPr>
      <xdr:spPr>
        <a:xfrm>
          <a:off x="7516091" y="4920012"/>
          <a:ext cx="5331701" cy="943488"/>
        </a:xfrm>
        <a:prstGeom prst="cube">
          <a:avLst>
            <a:gd name="adj" fmla="val 73132"/>
          </a:avLst>
        </a:prstGeom>
        <a:blipFill dpi="0" rotWithShape="1">
          <a:blip xmlns:r="http://schemas.openxmlformats.org/officeDocument/2006/relationships" r:embed="rId1"/>
          <a:srcRect/>
          <a:tile tx="0" ty="0" sx="100000" sy="100000" flip="none" algn="tl"/>
        </a:blipFill>
        <a:ln w="6350">
          <a:solidFill>
            <a:schemeClr val="tx1"/>
          </a:solidFill>
        </a:ln>
        <a:effectLst>
          <a:outerShdw blurRad="50800" dist="38100" dir="5400000" algn="t" rotWithShape="0">
            <a:prstClr val="black">
              <a:alpha val="40000"/>
            </a:prstClr>
          </a:outerShdw>
          <a:softEdge rad="0"/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1</xdr:col>
      <xdr:colOff>95050</xdr:colOff>
      <xdr:row>0</xdr:row>
      <xdr:rowOff>220133</xdr:rowOff>
    </xdr:from>
    <xdr:to>
      <xdr:col>4</xdr:col>
      <xdr:colOff>34928</xdr:colOff>
      <xdr:row>0</xdr:row>
      <xdr:rowOff>671405</xdr:rowOff>
    </xdr:to>
    <xdr:pic>
      <xdr:nvPicPr>
        <xdr:cNvPr id="9" name="Picture 8" descr="StormChamber Logo.pn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/>
        <a:srcRect b="20588"/>
        <a:stretch/>
      </xdr:blipFill>
      <xdr:spPr>
        <a:xfrm>
          <a:off x="145850" y="220133"/>
          <a:ext cx="2787853" cy="448732"/>
        </a:xfrm>
        <a:prstGeom prst="rect">
          <a:avLst/>
        </a:prstGeom>
      </xdr:spPr>
    </xdr:pic>
    <xdr:clientData/>
  </xdr:twoCellAnchor>
  <xdr:twoCellAnchor editAs="oneCell">
    <xdr:from>
      <xdr:col>1</xdr:col>
      <xdr:colOff>507998</xdr:colOff>
      <xdr:row>87</xdr:row>
      <xdr:rowOff>88589</xdr:rowOff>
    </xdr:from>
    <xdr:to>
      <xdr:col>5</xdr:col>
      <xdr:colOff>709041</xdr:colOff>
      <xdr:row>93</xdr:row>
      <xdr:rowOff>75021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0915" y="16566839"/>
          <a:ext cx="3841709" cy="1277599"/>
        </a:xfrm>
        <a:prstGeom prst="rect">
          <a:avLst/>
        </a:prstGeom>
      </xdr:spPr>
    </xdr:pic>
    <xdr:clientData/>
  </xdr:twoCellAnchor>
  <xdr:twoCellAnchor editAs="oneCell">
    <xdr:from>
      <xdr:col>3</xdr:col>
      <xdr:colOff>166309</xdr:colOff>
      <xdr:row>76</xdr:row>
      <xdr:rowOff>24486</xdr:rowOff>
    </xdr:from>
    <xdr:to>
      <xdr:col>7</xdr:col>
      <xdr:colOff>28949</xdr:colOff>
      <xdr:row>81</xdr:row>
      <xdr:rowOff>180311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5690"/>
        <a:stretch/>
      </xdr:blipFill>
      <xdr:spPr>
        <a:xfrm>
          <a:off x="1976059" y="14714153"/>
          <a:ext cx="2603723" cy="769658"/>
        </a:xfrm>
        <a:prstGeom prst="rect">
          <a:avLst/>
        </a:prstGeom>
      </xdr:spPr>
    </xdr:pic>
    <xdr:clientData/>
  </xdr:twoCellAnchor>
  <xdr:twoCellAnchor editAs="oneCell">
    <xdr:from>
      <xdr:col>1</xdr:col>
      <xdr:colOff>805927</xdr:colOff>
      <xdr:row>76</xdr:row>
      <xdr:rowOff>90160</xdr:rowOff>
    </xdr:from>
    <xdr:to>
      <xdr:col>3</xdr:col>
      <xdr:colOff>137028</xdr:colOff>
      <xdr:row>81</xdr:row>
      <xdr:rowOff>179573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7320" b="-1543"/>
        <a:stretch/>
      </xdr:blipFill>
      <xdr:spPr>
        <a:xfrm>
          <a:off x="858844" y="14779827"/>
          <a:ext cx="1087934" cy="703246"/>
        </a:xfrm>
        <a:prstGeom prst="rect">
          <a:avLst/>
        </a:prstGeom>
      </xdr:spPr>
    </xdr:pic>
    <xdr:clientData/>
  </xdr:twoCellAnchor>
  <xdr:twoCellAnchor editAs="oneCell">
    <xdr:from>
      <xdr:col>30</xdr:col>
      <xdr:colOff>142269</xdr:colOff>
      <xdr:row>0</xdr:row>
      <xdr:rowOff>219529</xdr:rowOff>
    </xdr:from>
    <xdr:to>
      <xdr:col>36</xdr:col>
      <xdr:colOff>97182</xdr:colOff>
      <xdr:row>0</xdr:row>
      <xdr:rowOff>897904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78B86B20-453B-4D49-9317-0D7CBA95DC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05769" y="219529"/>
          <a:ext cx="2435222" cy="660595"/>
        </a:xfrm>
        <a:prstGeom prst="rect">
          <a:avLst/>
        </a:prstGeom>
      </xdr:spPr>
    </xdr:pic>
    <xdr:clientData/>
  </xdr:twoCellAnchor>
  <xdr:twoCellAnchor editAs="oneCell">
    <xdr:from>
      <xdr:col>1</xdr:col>
      <xdr:colOff>604596</xdr:colOff>
      <xdr:row>81</xdr:row>
      <xdr:rowOff>181455</xdr:rowOff>
    </xdr:from>
    <xdr:to>
      <xdr:col>7</xdr:col>
      <xdr:colOff>61375</xdr:colOff>
      <xdr:row>87</xdr:row>
      <xdr:rowOff>7778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81D09350-ED24-459F-A971-3937B13A00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657513" y="15484955"/>
          <a:ext cx="3954695" cy="1001073"/>
        </a:xfrm>
        <a:prstGeom prst="rect">
          <a:avLst/>
        </a:prstGeom>
      </xdr:spPr>
    </xdr:pic>
    <xdr:clientData/>
  </xdr:twoCellAnchor>
  <xdr:twoCellAnchor>
    <xdr:from>
      <xdr:col>17</xdr:col>
      <xdr:colOff>111311</xdr:colOff>
      <xdr:row>22</xdr:row>
      <xdr:rowOff>63500</xdr:rowOff>
    </xdr:from>
    <xdr:to>
      <xdr:col>19</xdr:col>
      <xdr:colOff>219271</xdr:colOff>
      <xdr:row>32</xdr:row>
      <xdr:rowOff>165462</xdr:rowOff>
    </xdr:to>
    <xdr:sp macro="" textlink="">
      <xdr:nvSpPr>
        <xdr:cNvPr id="43" name="Cube 42">
          <a:extLst>
            <a:ext uri="{FF2B5EF4-FFF2-40B4-BE49-F238E27FC236}">
              <a16:creationId xmlns:a16="http://schemas.microsoft.com/office/drawing/2014/main" id="{84284453-0534-4EF6-A379-CEC017E94533}"/>
            </a:ext>
          </a:extLst>
        </xdr:cNvPr>
        <xdr:cNvSpPr/>
      </xdr:nvSpPr>
      <xdr:spPr>
        <a:xfrm>
          <a:off x="7437624" y="6103938"/>
          <a:ext cx="782647" cy="1721212"/>
        </a:xfrm>
        <a:prstGeom prst="cube">
          <a:avLst>
            <a:gd name="adj" fmla="val 64278"/>
          </a:avLst>
        </a:prstGeom>
        <a:blipFill dpi="0" rotWithShape="1">
          <a:blip xmlns:r="http://schemas.openxmlformats.org/officeDocument/2006/relationships" r:embed="rId1">
            <a:alphaModFix amt="85000"/>
          </a:blip>
          <a:srcRect/>
          <a:tile tx="0" ty="0" sx="100000" sy="100000" flip="none" algn="tl"/>
        </a:blipFill>
        <a:ln w="6350">
          <a:solidFill>
            <a:schemeClr val="tx1"/>
          </a:solidFill>
        </a:ln>
        <a:effectLst>
          <a:outerShdw blurRad="50800" dist="38100" dir="5400000" algn="t" rotWithShape="0">
            <a:prstClr val="black">
              <a:alpha val="40000"/>
            </a:prstClr>
          </a:outerShdw>
          <a:softEdge rad="0"/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17</xdr:col>
      <xdr:colOff>90000</xdr:colOff>
      <xdr:row>34</xdr:row>
      <xdr:rowOff>174443</xdr:rowOff>
    </xdr:from>
    <xdr:to>
      <xdr:col>28</xdr:col>
      <xdr:colOff>354867</xdr:colOff>
      <xdr:row>34</xdr:row>
      <xdr:rowOff>179999</xdr:rowOff>
    </xdr:to>
    <xdr:cxnSp macro="">
      <xdr:nvCxnSpPr>
        <xdr:cNvPr id="47" name="Straight Arrow Connector 46">
          <a:extLst>
            <a:ext uri="{FF2B5EF4-FFF2-40B4-BE49-F238E27FC236}">
              <a16:creationId xmlns:a16="http://schemas.microsoft.com/office/drawing/2014/main" id="{58D91D6D-89D8-4B65-9CD9-65FF17F0A718}"/>
            </a:ext>
          </a:extLst>
        </xdr:cNvPr>
        <xdr:cNvCxnSpPr/>
      </xdr:nvCxnSpPr>
      <xdr:spPr>
        <a:xfrm flipV="1">
          <a:off x="7049600" y="6708593"/>
          <a:ext cx="4595567" cy="5556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255515</xdr:colOff>
      <xdr:row>31</xdr:row>
      <xdr:rowOff>9071</xdr:rowOff>
    </xdr:from>
    <xdr:to>
      <xdr:col>30</xdr:col>
      <xdr:colOff>435431</xdr:colOff>
      <xdr:row>33</xdr:row>
      <xdr:rowOff>199571</xdr:rowOff>
    </xdr:to>
    <xdr:cxnSp macro="">
      <xdr:nvCxnSpPr>
        <xdr:cNvPr id="48" name="Straight Arrow Connector 47">
          <a:extLst>
            <a:ext uri="{FF2B5EF4-FFF2-40B4-BE49-F238E27FC236}">
              <a16:creationId xmlns:a16="http://schemas.microsoft.com/office/drawing/2014/main" id="{99568173-B5A1-4845-8235-813C6F60D844}"/>
            </a:ext>
          </a:extLst>
        </xdr:cNvPr>
        <xdr:cNvCxnSpPr/>
      </xdr:nvCxnSpPr>
      <xdr:spPr>
        <a:xfrm flipH="1">
          <a:off x="12420301" y="5270500"/>
          <a:ext cx="579059" cy="589642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455083</xdr:colOff>
      <xdr:row>20</xdr:row>
      <xdr:rowOff>105833</xdr:rowOff>
    </xdr:from>
    <xdr:to>
      <xdr:col>30</xdr:col>
      <xdr:colOff>476250</xdr:colOff>
      <xdr:row>30</xdr:row>
      <xdr:rowOff>21167</xdr:rowOff>
    </xdr:to>
    <xdr:cxnSp macro="">
      <xdr:nvCxnSpPr>
        <xdr:cNvPr id="49" name="Straight Arrow Connector 48">
          <a:extLst>
            <a:ext uri="{FF2B5EF4-FFF2-40B4-BE49-F238E27FC236}">
              <a16:creationId xmlns:a16="http://schemas.microsoft.com/office/drawing/2014/main" id="{FAB3B359-1DE3-4B47-B86A-4C198BE4CE99}"/>
            </a:ext>
          </a:extLst>
        </xdr:cNvPr>
        <xdr:cNvCxnSpPr/>
      </xdr:nvCxnSpPr>
      <xdr:spPr>
        <a:xfrm>
          <a:off x="13028083" y="3503083"/>
          <a:ext cx="21167" cy="1566334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254471</xdr:colOff>
      <xdr:row>24</xdr:row>
      <xdr:rowOff>67883</xdr:rowOff>
    </xdr:from>
    <xdr:to>
      <xdr:col>17</xdr:col>
      <xdr:colOff>11735</xdr:colOff>
      <xdr:row>24</xdr:row>
      <xdr:rowOff>67883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ED8CFA6D-9FDE-4CC3-8EC0-327803C5E643}"/>
            </a:ext>
          </a:extLst>
        </xdr:cNvPr>
        <xdr:cNvCxnSpPr/>
      </xdr:nvCxnSpPr>
      <xdr:spPr>
        <a:xfrm flipV="1">
          <a:off x="6885685" y="4140954"/>
          <a:ext cx="5555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337224</xdr:colOff>
      <xdr:row>34</xdr:row>
      <xdr:rowOff>26491</xdr:rowOff>
    </xdr:from>
    <xdr:to>
      <xdr:col>17</xdr:col>
      <xdr:colOff>40513</xdr:colOff>
      <xdr:row>34</xdr:row>
      <xdr:rowOff>29240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3CF0E8E0-1A43-40AE-97D9-247039043449}"/>
            </a:ext>
          </a:extLst>
        </xdr:cNvPr>
        <xdr:cNvCxnSpPr/>
      </xdr:nvCxnSpPr>
      <xdr:spPr>
        <a:xfrm>
          <a:off x="6958542" y="5845400"/>
          <a:ext cx="499926" cy="2749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206375</xdr:colOff>
      <xdr:row>26</xdr:row>
      <xdr:rowOff>4529</xdr:rowOff>
    </xdr:from>
    <xdr:to>
      <xdr:col>17</xdr:col>
      <xdr:colOff>20638</xdr:colOff>
      <xdr:row>26</xdr:row>
      <xdr:rowOff>4529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94DDD14F-91FB-4A70-84F4-2C1EA597EE1A}"/>
            </a:ext>
          </a:extLst>
        </xdr:cNvPr>
        <xdr:cNvCxnSpPr/>
      </xdr:nvCxnSpPr>
      <xdr:spPr>
        <a:xfrm>
          <a:off x="6837589" y="4413243"/>
          <a:ext cx="612549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323273</xdr:colOff>
      <xdr:row>32</xdr:row>
      <xdr:rowOff>178955</xdr:rowOff>
    </xdr:from>
    <xdr:to>
      <xdr:col>17</xdr:col>
      <xdr:colOff>46182</xdr:colOff>
      <xdr:row>32</xdr:row>
      <xdr:rowOff>184727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3DCE51FC-C874-4B32-956A-CC0C51D38AAD}"/>
            </a:ext>
          </a:extLst>
        </xdr:cNvPr>
        <xdr:cNvCxnSpPr/>
      </xdr:nvCxnSpPr>
      <xdr:spPr>
        <a:xfrm>
          <a:off x="6944591" y="5605319"/>
          <a:ext cx="519546" cy="5772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91283</xdr:colOff>
      <xdr:row>21</xdr:row>
      <xdr:rowOff>55562</xdr:rowOff>
    </xdr:from>
    <xdr:to>
      <xdr:col>30</xdr:col>
      <xdr:colOff>308911</xdr:colOff>
      <xdr:row>32</xdr:row>
      <xdr:rowOff>170050</xdr:rowOff>
    </xdr:to>
    <xdr:sp macro="" textlink="">
      <xdr:nvSpPr>
        <xdr:cNvPr id="54" name="Cube 53">
          <a:extLst>
            <a:ext uri="{FF2B5EF4-FFF2-40B4-BE49-F238E27FC236}">
              <a16:creationId xmlns:a16="http://schemas.microsoft.com/office/drawing/2014/main" id="{FA3ECDB5-3857-4906-A5C5-88FD29512CD6}"/>
            </a:ext>
          </a:extLst>
        </xdr:cNvPr>
        <xdr:cNvSpPr/>
      </xdr:nvSpPr>
      <xdr:spPr>
        <a:xfrm>
          <a:off x="11553033" y="5897562"/>
          <a:ext cx="979628" cy="1932176"/>
        </a:xfrm>
        <a:prstGeom prst="cube">
          <a:avLst>
            <a:gd name="adj" fmla="val 72493"/>
          </a:avLst>
        </a:prstGeom>
        <a:blipFill dpi="0" rotWithShape="1">
          <a:blip xmlns:r="http://schemas.openxmlformats.org/officeDocument/2006/relationships" r:embed="rId1">
            <a:alphaModFix amt="85000"/>
          </a:blip>
          <a:srcRect/>
          <a:tile tx="0" ty="0" sx="100000" sy="100000" flip="none" algn="tl"/>
        </a:blipFill>
        <a:ln w="6350">
          <a:solidFill>
            <a:schemeClr val="tx1"/>
          </a:solidFill>
        </a:ln>
        <a:effectLst>
          <a:outerShdw blurRad="50800" dist="38100" dir="5400000" algn="t" rotWithShape="0">
            <a:prstClr val="black">
              <a:alpha val="40000"/>
            </a:prstClr>
          </a:outerShdw>
          <a:softEdge rad="0"/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17</xdr:col>
      <xdr:colOff>108399</xdr:colOff>
      <xdr:row>20</xdr:row>
      <xdr:rowOff>7717</xdr:rowOff>
    </xdr:from>
    <xdr:to>
      <xdr:col>30</xdr:col>
      <xdr:colOff>305954</xdr:colOff>
      <xdr:row>25</xdr:row>
      <xdr:rowOff>120573</xdr:rowOff>
    </xdr:to>
    <xdr:sp macro="" textlink="">
      <xdr:nvSpPr>
        <xdr:cNvPr id="55" name="Cube 54">
          <a:extLst>
            <a:ext uri="{FF2B5EF4-FFF2-40B4-BE49-F238E27FC236}">
              <a16:creationId xmlns:a16="http://schemas.microsoft.com/office/drawing/2014/main" id="{EDD6CFBE-C075-4D12-825F-12544A36593A}"/>
            </a:ext>
          </a:extLst>
        </xdr:cNvPr>
        <xdr:cNvSpPr/>
      </xdr:nvSpPr>
      <xdr:spPr>
        <a:xfrm>
          <a:off x="7526354" y="3407853"/>
          <a:ext cx="5317964" cy="961447"/>
        </a:xfrm>
        <a:prstGeom prst="cube">
          <a:avLst>
            <a:gd name="adj" fmla="val 73132"/>
          </a:avLst>
        </a:prstGeom>
        <a:blipFill dpi="0" rotWithShape="1">
          <a:blip xmlns:r="http://schemas.openxmlformats.org/officeDocument/2006/relationships" r:embed="rId1"/>
          <a:srcRect/>
          <a:tile tx="0" ty="0" sx="100000" sy="100000" flip="none" algn="tl"/>
        </a:blipFill>
        <a:ln w="6350">
          <a:solidFill>
            <a:schemeClr val="tx1"/>
          </a:solidFill>
        </a:ln>
        <a:effectLst>
          <a:outerShdw blurRad="50800" dist="38100" dir="5400000" algn="t" rotWithShape="0">
            <a:prstClr val="black">
              <a:alpha val="40000"/>
            </a:prstClr>
          </a:outerShdw>
          <a:softEdge rad="0"/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17</xdr:col>
      <xdr:colOff>115990</xdr:colOff>
      <xdr:row>14</xdr:row>
      <xdr:rowOff>189767</xdr:rowOff>
    </xdr:from>
    <xdr:to>
      <xdr:col>30</xdr:col>
      <xdr:colOff>295612</xdr:colOff>
      <xdr:row>24</xdr:row>
      <xdr:rowOff>18770</xdr:rowOff>
    </xdr:to>
    <xdr:sp macro="" textlink="">
      <xdr:nvSpPr>
        <xdr:cNvPr id="56" name="Cube 55">
          <a:extLst>
            <a:ext uri="{FF2B5EF4-FFF2-40B4-BE49-F238E27FC236}">
              <a16:creationId xmlns:a16="http://schemas.microsoft.com/office/drawing/2014/main" id="{B43A8E55-923A-4E39-8F7C-97A6AFB04BDA}"/>
            </a:ext>
          </a:extLst>
        </xdr:cNvPr>
        <xdr:cNvSpPr/>
      </xdr:nvSpPr>
      <xdr:spPr>
        <a:xfrm>
          <a:off x="7442303" y="5079267"/>
          <a:ext cx="5077059" cy="1210128"/>
        </a:xfrm>
        <a:prstGeom prst="cube">
          <a:avLst>
            <a:gd name="adj" fmla="val 56739"/>
          </a:avLst>
        </a:prstGeom>
        <a:blipFill dpi="0" rotWithShape="1">
          <a:blip xmlns:r="http://schemas.openxmlformats.org/officeDocument/2006/relationships" r:embed="rId8"/>
          <a:srcRect/>
          <a:tile tx="0" ty="0" sx="100000" sy="100000" flip="none" algn="tl"/>
        </a:blipFill>
        <a:ln w="6350">
          <a:solidFill>
            <a:schemeClr val="tx1"/>
          </a:solidFill>
        </a:ln>
        <a:effectLst>
          <a:outerShdw blurRad="50800" dist="38100" dir="5400000" algn="t" rotWithShape="0">
            <a:prstClr val="black">
              <a:alpha val="40000"/>
            </a:prstClr>
          </a:outerShdw>
          <a:softEdge rad="0"/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30</xdr:col>
      <xdr:colOff>389540</xdr:colOff>
      <xdr:row>30</xdr:row>
      <xdr:rowOff>106795</xdr:rowOff>
    </xdr:from>
    <xdr:to>
      <xdr:col>33</xdr:col>
      <xdr:colOff>47506</xdr:colOff>
      <xdr:row>30</xdr:row>
      <xdr:rowOff>109681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922E3E0E-481A-4051-A8C9-C5F9000BF195}"/>
            </a:ext>
          </a:extLst>
        </xdr:cNvPr>
        <xdr:cNvCxnSpPr/>
      </xdr:nvCxnSpPr>
      <xdr:spPr>
        <a:xfrm>
          <a:off x="12962540" y="5155045"/>
          <a:ext cx="927966" cy="2886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381000</xdr:colOff>
      <xdr:row>20</xdr:row>
      <xdr:rowOff>10583</xdr:rowOff>
    </xdr:from>
    <xdr:to>
      <xdr:col>32</xdr:col>
      <xdr:colOff>201084</xdr:colOff>
      <xdr:row>20</xdr:row>
      <xdr:rowOff>10583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3898678B-80EA-4BEC-99CA-6ECE73C27A92}"/>
            </a:ext>
          </a:extLst>
        </xdr:cNvPr>
        <xdr:cNvCxnSpPr/>
      </xdr:nvCxnSpPr>
      <xdr:spPr>
        <a:xfrm>
          <a:off x="12954000" y="3407833"/>
          <a:ext cx="814917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89341</xdr:colOff>
      <xdr:row>26</xdr:row>
      <xdr:rowOff>92032</xdr:rowOff>
    </xdr:from>
    <xdr:to>
      <xdr:col>18</xdr:col>
      <xdr:colOff>192894</xdr:colOff>
      <xdr:row>32</xdr:row>
      <xdr:rowOff>85230</xdr:rowOff>
    </xdr:to>
    <xdr:sp macro="" textlink="">
      <xdr:nvSpPr>
        <xdr:cNvPr id="59" name="TextBox 58">
          <a:extLst>
            <a:ext uri="{FF2B5EF4-FFF2-40B4-BE49-F238E27FC236}">
              <a16:creationId xmlns:a16="http://schemas.microsoft.com/office/drawing/2014/main" id="{F127E672-C956-4480-86A2-DE114A1FA85F}"/>
            </a:ext>
          </a:extLst>
        </xdr:cNvPr>
        <xdr:cNvSpPr txBox="1"/>
      </xdr:nvSpPr>
      <xdr:spPr>
        <a:xfrm>
          <a:off x="7415654" y="6703970"/>
          <a:ext cx="484553" cy="104094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" wrap="square" rtlCol="0" anchor="t"/>
        <a:lstStyle/>
        <a:p>
          <a:pPr algn="ctr"/>
          <a:r>
            <a:rPr lang="en-US" sz="800"/>
            <a:t>Stone</a:t>
          </a:r>
          <a:endParaRPr lang="en-US" sz="600"/>
        </a:p>
        <a:p>
          <a:endParaRPr lang="en-US" sz="1100"/>
        </a:p>
      </xdr:txBody>
    </xdr:sp>
    <xdr:clientData/>
  </xdr:twoCellAnchor>
  <xdr:twoCellAnchor>
    <xdr:from>
      <xdr:col>30</xdr:col>
      <xdr:colOff>334452</xdr:colOff>
      <xdr:row>15</xdr:row>
      <xdr:rowOff>35125</xdr:rowOff>
    </xdr:from>
    <xdr:to>
      <xdr:col>32</xdr:col>
      <xdr:colOff>332864</xdr:colOff>
      <xdr:row>15</xdr:row>
      <xdr:rowOff>39309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E7F6C846-6FF2-4E72-95BB-FFF691573C31}"/>
            </a:ext>
          </a:extLst>
        </xdr:cNvPr>
        <xdr:cNvCxnSpPr/>
      </xdr:nvCxnSpPr>
      <xdr:spPr>
        <a:xfrm>
          <a:off x="12872816" y="2909943"/>
          <a:ext cx="864321" cy="4184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137583</xdr:colOff>
      <xdr:row>16</xdr:row>
      <xdr:rowOff>10583</xdr:rowOff>
    </xdr:from>
    <xdr:to>
      <xdr:col>33</xdr:col>
      <xdr:colOff>148167</xdr:colOff>
      <xdr:row>30</xdr:row>
      <xdr:rowOff>95250</xdr:rowOff>
    </xdr:to>
    <xdr:cxnSp macro="">
      <xdr:nvCxnSpPr>
        <xdr:cNvPr id="61" name="Straight Arrow Connector 60">
          <a:extLst>
            <a:ext uri="{FF2B5EF4-FFF2-40B4-BE49-F238E27FC236}">
              <a16:creationId xmlns:a16="http://schemas.microsoft.com/office/drawing/2014/main" id="{AA5C4088-DB23-4672-B57D-6386D121B98A}"/>
            </a:ext>
          </a:extLst>
        </xdr:cNvPr>
        <xdr:cNvCxnSpPr/>
      </xdr:nvCxnSpPr>
      <xdr:spPr>
        <a:xfrm>
          <a:off x="13980583" y="2931583"/>
          <a:ext cx="10584" cy="2211917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101293</xdr:colOff>
      <xdr:row>32</xdr:row>
      <xdr:rowOff>181033</xdr:rowOff>
    </xdr:from>
    <xdr:to>
      <xdr:col>21</xdr:col>
      <xdr:colOff>81267</xdr:colOff>
      <xdr:row>34</xdr:row>
      <xdr:rowOff>137072</xdr:rowOff>
    </xdr:to>
    <xdr:sp macro="" textlink="">
      <xdr:nvSpPr>
        <xdr:cNvPr id="62" name="TextBox 61">
          <a:extLst>
            <a:ext uri="{FF2B5EF4-FFF2-40B4-BE49-F238E27FC236}">
              <a16:creationId xmlns:a16="http://schemas.microsoft.com/office/drawing/2014/main" id="{ED98360A-5659-4B7A-A2C3-C81902982364}"/>
            </a:ext>
          </a:extLst>
        </xdr:cNvPr>
        <xdr:cNvSpPr txBox="1"/>
      </xdr:nvSpPr>
      <xdr:spPr>
        <a:xfrm>
          <a:off x="7705418" y="7467658"/>
          <a:ext cx="1480162" cy="35291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 b="1"/>
            <a:t>Stone</a:t>
          </a:r>
          <a:r>
            <a:rPr lang="en-US" sz="1000" b="1" baseline="0"/>
            <a:t> Layer Below</a:t>
          </a:r>
        </a:p>
        <a:p>
          <a:endParaRPr lang="en-US" sz="1200" b="1"/>
        </a:p>
      </xdr:txBody>
    </xdr:sp>
    <xdr:clientData/>
  </xdr:twoCellAnchor>
  <xdr:twoCellAnchor>
    <xdr:from>
      <xdr:col>17</xdr:col>
      <xdr:colOff>100179</xdr:colOff>
      <xdr:row>24</xdr:row>
      <xdr:rowOff>73571</xdr:rowOff>
    </xdr:from>
    <xdr:to>
      <xdr:col>21</xdr:col>
      <xdr:colOff>80153</xdr:colOff>
      <xdr:row>25</xdr:row>
      <xdr:rowOff>72380</xdr:rowOff>
    </xdr:to>
    <xdr:sp macro="" textlink="">
      <xdr:nvSpPr>
        <xdr:cNvPr id="63" name="TextBox 62">
          <a:extLst>
            <a:ext uri="{FF2B5EF4-FFF2-40B4-BE49-F238E27FC236}">
              <a16:creationId xmlns:a16="http://schemas.microsoft.com/office/drawing/2014/main" id="{AEA1C760-C4C3-47D1-AEFA-07EE1AE05E7C}"/>
            </a:ext>
          </a:extLst>
        </xdr:cNvPr>
        <xdr:cNvSpPr txBox="1"/>
      </xdr:nvSpPr>
      <xdr:spPr>
        <a:xfrm>
          <a:off x="7518134" y="4126026"/>
          <a:ext cx="1480883" cy="19508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 b="1"/>
            <a:t>Stone</a:t>
          </a:r>
          <a:r>
            <a:rPr lang="en-US" sz="1000" b="1" baseline="0"/>
            <a:t> Layer Above</a:t>
          </a:r>
        </a:p>
        <a:p>
          <a:endParaRPr lang="en-US" sz="1200" b="1"/>
        </a:p>
      </xdr:txBody>
    </xdr:sp>
    <xdr:clientData/>
  </xdr:twoCellAnchor>
  <xdr:twoCellAnchor>
    <xdr:from>
      <xdr:col>21</xdr:col>
      <xdr:colOff>91686</xdr:colOff>
      <xdr:row>21</xdr:row>
      <xdr:rowOff>94655</xdr:rowOff>
    </xdr:from>
    <xdr:to>
      <xdr:col>26</xdr:col>
      <xdr:colOff>100060</xdr:colOff>
      <xdr:row>24</xdr:row>
      <xdr:rowOff>62906</xdr:rowOff>
    </xdr:to>
    <xdr:sp macro="" textlink="">
      <xdr:nvSpPr>
        <xdr:cNvPr id="64" name="TextBox 63">
          <a:extLst>
            <a:ext uri="{FF2B5EF4-FFF2-40B4-BE49-F238E27FC236}">
              <a16:creationId xmlns:a16="http://schemas.microsoft.com/office/drawing/2014/main" id="{DB85083E-E4D5-4737-85EF-FF0E2442BF6E}"/>
            </a:ext>
          </a:extLst>
        </xdr:cNvPr>
        <xdr:cNvSpPr txBox="1"/>
      </xdr:nvSpPr>
      <xdr:spPr>
        <a:xfrm>
          <a:off x="9027043" y="3741369"/>
          <a:ext cx="1913374" cy="39460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 b="1"/>
            <a:t>Additional</a:t>
          </a:r>
          <a:r>
            <a:rPr lang="en-US" sz="900" b="1" baseline="0"/>
            <a:t> </a:t>
          </a:r>
          <a:r>
            <a:rPr lang="en-US" sz="900" b="1"/>
            <a:t>Cover Above System</a:t>
          </a:r>
          <a:endParaRPr lang="en-US" sz="900" b="1" baseline="0"/>
        </a:p>
        <a:p>
          <a:endParaRPr lang="en-US" sz="1100" b="1"/>
        </a:p>
      </xdr:txBody>
    </xdr:sp>
    <xdr:clientData/>
  </xdr:twoCellAnchor>
  <xdr:twoCellAnchor>
    <xdr:from>
      <xdr:col>15</xdr:col>
      <xdr:colOff>255400</xdr:colOff>
      <xdr:row>20</xdr:row>
      <xdr:rowOff>185459</xdr:rowOff>
    </xdr:from>
    <xdr:to>
      <xdr:col>17</xdr:col>
      <xdr:colOff>9489</xdr:colOff>
      <xdr:row>20</xdr:row>
      <xdr:rowOff>185459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6C302FEC-A166-420B-AB29-F97C4C85BFE6}"/>
            </a:ext>
          </a:extLst>
        </xdr:cNvPr>
        <xdr:cNvCxnSpPr/>
      </xdr:nvCxnSpPr>
      <xdr:spPr>
        <a:xfrm flipV="1">
          <a:off x="6876718" y="3585595"/>
          <a:ext cx="550726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46181</xdr:colOff>
      <xdr:row>26</xdr:row>
      <xdr:rowOff>7937</xdr:rowOff>
    </xdr:from>
    <xdr:to>
      <xdr:col>28</xdr:col>
      <xdr:colOff>71438</xdr:colOff>
      <xdr:row>32</xdr:row>
      <xdr:rowOff>161770</xdr:rowOff>
    </xdr:to>
    <xdr:sp macro="" textlink="">
      <xdr:nvSpPr>
        <xdr:cNvPr id="66" name="Rectangle 65">
          <a:extLst>
            <a:ext uri="{FF2B5EF4-FFF2-40B4-BE49-F238E27FC236}">
              <a16:creationId xmlns:a16="http://schemas.microsoft.com/office/drawing/2014/main" id="{E7EE41E9-FAC4-4592-BAD0-A8C44652B3B1}"/>
            </a:ext>
          </a:extLst>
        </xdr:cNvPr>
        <xdr:cNvSpPr/>
      </xdr:nvSpPr>
      <xdr:spPr>
        <a:xfrm>
          <a:off x="7753494" y="6619875"/>
          <a:ext cx="3779694" cy="1201583"/>
        </a:xfrm>
        <a:prstGeom prst="rect">
          <a:avLst/>
        </a:prstGeom>
        <a:solidFill>
          <a:srgbClr val="F579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29</xdr:col>
      <xdr:colOff>124558</xdr:colOff>
      <xdr:row>34</xdr:row>
      <xdr:rowOff>80596</xdr:rowOff>
    </xdr:from>
    <xdr:to>
      <xdr:col>31</xdr:col>
      <xdr:colOff>257797</xdr:colOff>
      <xdr:row>34</xdr:row>
      <xdr:rowOff>83482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C8DFE337-4715-44BA-8896-2EB720BFDEF4}"/>
            </a:ext>
          </a:extLst>
        </xdr:cNvPr>
        <xdr:cNvCxnSpPr/>
      </xdr:nvCxnSpPr>
      <xdr:spPr>
        <a:xfrm>
          <a:off x="11814908" y="6614746"/>
          <a:ext cx="933339" cy="2886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18</xdr:col>
      <xdr:colOff>46182</xdr:colOff>
      <xdr:row>26</xdr:row>
      <xdr:rowOff>114783</xdr:rowOff>
    </xdr:from>
    <xdr:to>
      <xdr:col>28</xdr:col>
      <xdr:colOff>3322</xdr:colOff>
      <xdr:row>32</xdr:row>
      <xdr:rowOff>142766</xdr:rowOff>
    </xdr:to>
    <xdr:pic>
      <xdr:nvPicPr>
        <xdr:cNvPr id="69" name="Picture 68">
          <a:extLst>
            <a:ext uri="{FF2B5EF4-FFF2-40B4-BE49-F238E27FC236}">
              <a16:creationId xmlns:a16="http://schemas.microsoft.com/office/drawing/2014/main" id="{49B040C4-A836-4CDD-881E-6ECCC1F081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alphaModFix amt="35000"/>
        </a:blip>
        <a:stretch>
          <a:fillRect/>
        </a:stretch>
      </xdr:blipFill>
      <xdr:spPr>
        <a:xfrm>
          <a:off x="7753495" y="6726721"/>
          <a:ext cx="3707042" cy="1072558"/>
        </a:xfrm>
        <a:prstGeom prst="rect">
          <a:avLst/>
        </a:prstGeom>
      </xdr:spPr>
    </xdr:pic>
    <xdr:clientData/>
  </xdr:twoCellAnchor>
  <xdr:twoCellAnchor>
    <xdr:from>
      <xdr:col>21</xdr:col>
      <xdr:colOff>146885</xdr:colOff>
      <xdr:row>30</xdr:row>
      <xdr:rowOff>21694</xdr:rowOff>
    </xdr:from>
    <xdr:to>
      <xdr:col>27</xdr:col>
      <xdr:colOff>266473</xdr:colOff>
      <xdr:row>34</xdr:row>
      <xdr:rowOff>11111</xdr:rowOff>
    </xdr:to>
    <xdr:sp macro="" textlink="">
      <xdr:nvSpPr>
        <xdr:cNvPr id="70" name="TextBox 69">
          <a:extLst>
            <a:ext uri="{FF2B5EF4-FFF2-40B4-BE49-F238E27FC236}">
              <a16:creationId xmlns:a16="http://schemas.microsoft.com/office/drawing/2014/main" id="{0C04C05F-EDD8-4DCC-9205-8E9E9694E5FF}"/>
            </a:ext>
          </a:extLst>
        </xdr:cNvPr>
        <xdr:cNvSpPr txBox="1"/>
      </xdr:nvSpPr>
      <xdr:spPr>
        <a:xfrm>
          <a:off x="8909885" y="7284507"/>
          <a:ext cx="2310338" cy="7831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STORMCHAMBER  SYSTEM</a:t>
          </a:r>
        </a:p>
      </xdr:txBody>
    </xdr:sp>
    <xdr:clientData/>
  </xdr:twoCellAnchor>
  <xdr:twoCellAnchor editAs="oneCell">
    <xdr:from>
      <xdr:col>31</xdr:col>
      <xdr:colOff>205316</xdr:colOff>
      <xdr:row>6</xdr:row>
      <xdr:rowOff>27517</xdr:rowOff>
    </xdr:from>
    <xdr:to>
      <xdr:col>35</xdr:col>
      <xdr:colOff>2114</xdr:colOff>
      <xdr:row>10</xdr:row>
      <xdr:rowOff>103929</xdr:rowOff>
    </xdr:to>
    <xdr:pic>
      <xdr:nvPicPr>
        <xdr:cNvPr id="71" name="Graphic 70" descr="Cursor with solid fill">
          <a:extLst>
            <a:ext uri="{FF2B5EF4-FFF2-40B4-BE49-F238E27FC236}">
              <a16:creationId xmlns:a16="http://schemas.microsoft.com/office/drawing/2014/main" id="{341155D5-B1D2-476E-9551-818846DA83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1"/>
            </a:ext>
          </a:extLst>
        </a:blip>
        <a:stretch>
          <a:fillRect/>
        </a:stretch>
      </xdr:blipFill>
      <xdr:spPr>
        <a:xfrm>
          <a:off x="13629216" y="2173817"/>
          <a:ext cx="1390649" cy="887942"/>
        </a:xfrm>
        <a:prstGeom prst="rect">
          <a:avLst/>
        </a:prstGeom>
      </xdr:spPr>
    </xdr:pic>
    <xdr:clientData/>
  </xdr:twoCellAnchor>
  <xdr:twoCellAnchor>
    <xdr:from>
      <xdr:col>22</xdr:col>
      <xdr:colOff>139700</xdr:colOff>
      <xdr:row>10</xdr:row>
      <xdr:rowOff>63500</xdr:rowOff>
    </xdr:from>
    <xdr:to>
      <xdr:col>33</xdr:col>
      <xdr:colOff>20023</xdr:colOff>
      <xdr:row>11</xdr:row>
      <xdr:rowOff>-1</xdr:rowOff>
    </xdr:to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id="{ACE0F95C-3B70-447B-89A5-017232E16DE9}"/>
            </a:ext>
          </a:extLst>
        </xdr:cNvPr>
        <xdr:cNvSpPr txBox="1"/>
      </xdr:nvSpPr>
      <xdr:spPr>
        <a:xfrm>
          <a:off x="9702800" y="2971800"/>
          <a:ext cx="4617423" cy="58419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050" i="1"/>
            <a:t>Design calculator is </a:t>
          </a:r>
          <a:r>
            <a:rPr lang="en-US" sz="1050" i="1" baseline="0"/>
            <a:t>for initial estimation or conceptual purposes. </a:t>
          </a:r>
        </a:p>
        <a:p>
          <a:pPr algn="ctr"/>
          <a:r>
            <a:rPr lang="en-US" sz="1050" i="1" baseline="0"/>
            <a:t>Let NDS Designworx provide a complete system layout free of charge.</a:t>
          </a:r>
          <a:endParaRPr lang="en-US" sz="1050" i="1"/>
        </a:p>
      </xdr:txBody>
    </xdr:sp>
    <xdr:clientData/>
  </xdr:twoCellAnchor>
  <xdr:twoCellAnchor>
    <xdr:from>
      <xdr:col>28</xdr:col>
      <xdr:colOff>55563</xdr:colOff>
      <xdr:row>26</xdr:row>
      <xdr:rowOff>55562</xdr:rowOff>
    </xdr:from>
    <xdr:to>
      <xdr:col>29</xdr:col>
      <xdr:colOff>159116</xdr:colOff>
      <xdr:row>32</xdr:row>
      <xdr:rowOff>48760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7762EDE2-C16D-403C-B6DC-1A7FC0FB5AA3}"/>
            </a:ext>
          </a:extLst>
        </xdr:cNvPr>
        <xdr:cNvSpPr txBox="1"/>
      </xdr:nvSpPr>
      <xdr:spPr>
        <a:xfrm>
          <a:off x="11517313" y="6667500"/>
          <a:ext cx="484553" cy="104094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" wrap="square" rtlCol="0" anchor="t"/>
        <a:lstStyle/>
        <a:p>
          <a:pPr algn="ctr"/>
          <a:r>
            <a:rPr lang="en-US" sz="800"/>
            <a:t>Stone</a:t>
          </a:r>
          <a:endParaRPr lang="en-US" sz="600"/>
        </a:p>
        <a:p>
          <a:endParaRPr lang="en-US" sz="1100"/>
        </a:p>
      </xdr:txBody>
    </xdr:sp>
    <xdr:clientData/>
  </xdr:twoCellAnchor>
  <xdr:twoCellAnchor editAs="oneCell">
    <xdr:from>
      <xdr:col>17</xdr:col>
      <xdr:colOff>130972</xdr:colOff>
      <xdr:row>58</xdr:row>
      <xdr:rowOff>284378</xdr:rowOff>
    </xdr:from>
    <xdr:to>
      <xdr:col>26</xdr:col>
      <xdr:colOff>333381</xdr:colOff>
      <xdr:row>70</xdr:row>
      <xdr:rowOff>11904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896811AE-AC86-283C-E281-E6F60B5CB2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77128" y="11988222"/>
          <a:ext cx="3452815" cy="1858745"/>
        </a:xfrm>
        <a:prstGeom prst="rect">
          <a:avLst/>
        </a:prstGeom>
      </xdr:spPr>
    </xdr:pic>
    <xdr:clientData/>
  </xdr:twoCellAnchor>
  <xdr:twoCellAnchor editAs="oneCell">
    <xdr:from>
      <xdr:col>27</xdr:col>
      <xdr:colOff>275169</xdr:colOff>
      <xdr:row>58</xdr:row>
      <xdr:rowOff>285750</xdr:rowOff>
    </xdr:from>
    <xdr:to>
      <xdr:col>35</xdr:col>
      <xdr:colOff>275168</xdr:colOff>
      <xdr:row>72</xdr:row>
      <xdr:rowOff>116417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561670A6-7E23-FCC0-0B54-E245559E22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87669" y="12054417"/>
          <a:ext cx="3312582" cy="2222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ndspro.com/submityourdesign" TargetMode="External"/><Relationship Id="rId1" Type="http://schemas.openxmlformats.org/officeDocument/2006/relationships/printerSettings" Target="../printerSettings/printerSettings1.bin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autoPageBreaks="0"/>
  </sheetPr>
  <dimension ref="A1:DX255"/>
  <sheetViews>
    <sheetView tabSelected="1" topLeftCell="A13" zoomScale="90" zoomScaleNormal="90" workbookViewId="0">
      <selection activeCell="H32" sqref="H32"/>
    </sheetView>
  </sheetViews>
  <sheetFormatPr defaultColWidth="9.140625" defaultRowHeight="15" x14ac:dyDescent="0.25"/>
  <cols>
    <col min="1" max="1" width="0.7109375" style="8" customWidth="1"/>
    <col min="2" max="2" width="15.5703125" style="8" customWidth="1"/>
    <col min="3" max="3" width="10.7109375" style="8" customWidth="1"/>
    <col min="4" max="4" width="14.5703125" style="8" customWidth="1"/>
    <col min="5" max="5" width="13.5703125" style="8" customWidth="1"/>
    <col min="6" max="6" width="11.140625" style="8" customWidth="1"/>
    <col min="7" max="7" width="1.7109375" style="8" customWidth="1"/>
    <col min="8" max="8" width="10" style="22" customWidth="1"/>
    <col min="9" max="9" width="8.28515625" style="22" customWidth="1"/>
    <col min="10" max="10" width="1.5703125" style="8" customWidth="1"/>
    <col min="11" max="11" width="1.7109375" style="8" customWidth="1"/>
    <col min="12" max="12" width="2.85546875" style="8" customWidth="1"/>
    <col min="13" max="13" width="1.28515625" style="8" customWidth="1"/>
    <col min="14" max="14" width="0.85546875" style="8" customWidth="1"/>
    <col min="15" max="15" width="3.140625" style="8" customWidth="1"/>
    <col min="16" max="16" width="6.5703125" style="8" customWidth="1"/>
    <col min="17" max="17" width="7.5703125" style="8" customWidth="1"/>
    <col min="18" max="18" width="5.7109375" style="8" customWidth="1"/>
    <col min="19" max="19" width="4.42578125" style="8" customWidth="1"/>
    <col min="20" max="21" width="5.7109375" style="8" customWidth="1"/>
    <col min="22" max="23" width="5" style="8" customWidth="1"/>
    <col min="24" max="27" width="5.7109375" style="8" customWidth="1"/>
    <col min="28" max="28" width="7.5703125" style="8" customWidth="1"/>
    <col min="29" max="30" width="5.7109375" style="8" customWidth="1"/>
    <col min="31" max="31" width="7.5703125" style="8" customWidth="1"/>
    <col min="32" max="32" width="6.7109375" style="8" customWidth="1"/>
    <col min="33" max="33" width="5.7109375" style="8" customWidth="1"/>
    <col min="34" max="34" width="2.5703125" style="8" customWidth="1"/>
    <col min="35" max="35" width="8.140625" style="8" customWidth="1"/>
    <col min="36" max="36" width="4.7109375" style="8" customWidth="1"/>
    <col min="37" max="37" width="2.85546875" style="8" customWidth="1"/>
    <col min="38" max="38" width="1.28515625" style="8" hidden="1" customWidth="1"/>
    <col min="39" max="39" width="3.5703125" style="8" hidden="1" customWidth="1"/>
    <col min="40" max="40" width="13.140625" style="8" hidden="1" customWidth="1"/>
    <col min="41" max="41" width="9.42578125" style="8" hidden="1" customWidth="1"/>
    <col min="42" max="42" width="7.140625" style="8" hidden="1" customWidth="1"/>
    <col min="43" max="43" width="8" style="8" hidden="1" customWidth="1"/>
    <col min="44" max="44" width="10.140625" style="8" hidden="1" customWidth="1"/>
    <col min="45" max="45" width="1.28515625" style="8" hidden="1" customWidth="1"/>
    <col min="46" max="46" width="6.140625" style="8" hidden="1" customWidth="1"/>
    <col min="47" max="47" width="5.5703125" style="8" hidden="1" customWidth="1"/>
    <col min="48" max="48" width="3.140625" style="8" hidden="1" customWidth="1"/>
    <col min="49" max="49" width="9.28515625" style="8" hidden="1" customWidth="1"/>
    <col min="50" max="50" width="6.85546875" style="8" hidden="1" customWidth="1"/>
    <col min="51" max="51" width="4.28515625" style="8" hidden="1" customWidth="1"/>
    <col min="52" max="52" width="2.42578125" style="8" hidden="1" customWidth="1"/>
    <col min="53" max="53" width="5.7109375" style="8" hidden="1" customWidth="1"/>
    <col min="54" max="54" width="1.85546875" style="189" customWidth="1"/>
    <col min="55" max="70" width="12.28515625" style="8" customWidth="1"/>
    <col min="71" max="71" width="29" style="189" hidden="1" customWidth="1"/>
    <col min="72" max="106" width="29" style="8" hidden="1" customWidth="1"/>
    <col min="107" max="107" width="16.7109375" style="8" customWidth="1"/>
    <col min="108" max="108" width="18.7109375" style="8" customWidth="1"/>
    <col min="109" max="109" width="25.85546875" style="8" customWidth="1"/>
    <col min="110" max="128" width="9.140625" style="8" customWidth="1"/>
    <col min="129" max="16384" width="9.140625" style="8"/>
  </cols>
  <sheetData>
    <row r="1" spans="1:124" s="7" customFormat="1" ht="78.95" customHeight="1" x14ac:dyDescent="0.55000000000000004">
      <c r="A1" s="446" t="s">
        <v>0</v>
      </c>
      <c r="B1" s="446"/>
      <c r="C1" s="446"/>
      <c r="D1" s="446"/>
      <c r="E1" s="446"/>
      <c r="F1" s="446"/>
      <c r="G1" s="446"/>
      <c r="H1" s="446"/>
      <c r="I1" s="446"/>
      <c r="J1" s="446"/>
      <c r="K1" s="446"/>
      <c r="L1" s="446"/>
      <c r="M1" s="446"/>
      <c r="N1" s="446"/>
      <c r="O1" s="446"/>
      <c r="P1" s="446"/>
      <c r="Q1" s="446"/>
      <c r="R1" s="446"/>
      <c r="S1" s="446"/>
      <c r="T1" s="446"/>
      <c r="U1" s="446"/>
      <c r="V1" s="446"/>
      <c r="W1" s="446"/>
      <c r="X1" s="446"/>
      <c r="Y1" s="446"/>
      <c r="Z1" s="446"/>
      <c r="AA1" s="446"/>
      <c r="AB1" s="446"/>
      <c r="AC1" s="446"/>
      <c r="AD1" s="446"/>
      <c r="AE1" s="446"/>
      <c r="AF1" s="446"/>
      <c r="AG1" s="446"/>
      <c r="AH1" s="446"/>
      <c r="AI1" s="446"/>
      <c r="AJ1" s="446"/>
      <c r="AK1" s="298"/>
      <c r="AL1" s="299"/>
      <c r="AM1" s="299"/>
      <c r="AN1" s="299"/>
      <c r="AO1" s="299"/>
      <c r="AP1" s="299"/>
      <c r="AQ1" s="299"/>
      <c r="AR1" s="299"/>
      <c r="AS1" s="299"/>
      <c r="AT1" s="299"/>
      <c r="AU1" s="299"/>
      <c r="AV1" s="299"/>
      <c r="AW1" s="299"/>
      <c r="AX1" s="299"/>
      <c r="AY1" s="299"/>
      <c r="AZ1" s="299"/>
      <c r="BA1" s="299"/>
      <c r="BB1" s="371"/>
      <c r="BC1" s="447" t="s">
        <v>1</v>
      </c>
      <c r="BD1" s="447"/>
      <c r="BE1" s="447"/>
      <c r="BF1" s="447"/>
      <c r="BG1" s="447"/>
      <c r="BH1" s="447"/>
      <c r="BI1" s="447"/>
      <c r="BJ1" s="447"/>
      <c r="BK1" s="447"/>
      <c r="BL1" s="447"/>
      <c r="BM1" s="447"/>
      <c r="BN1" s="447"/>
      <c r="BO1" s="447"/>
      <c r="BP1" s="447"/>
      <c r="BQ1" s="447"/>
      <c r="BR1" s="447"/>
      <c r="BS1" s="371"/>
      <c r="BT1" s="371"/>
      <c r="BU1" s="371"/>
      <c r="BY1" s="9" t="s">
        <v>2</v>
      </c>
      <c r="CB1" s="9"/>
      <c r="CC1" s="9"/>
      <c r="CD1" s="1" t="s">
        <v>3</v>
      </c>
      <c r="CE1" s="1"/>
      <c r="CF1" s="1"/>
      <c r="CG1" s="1"/>
      <c r="CH1" s="1"/>
      <c r="CI1" s="1"/>
      <c r="CJ1" s="580" t="s">
        <v>4</v>
      </c>
      <c r="CK1" s="580"/>
      <c r="CL1" s="580"/>
      <c r="CM1" s="580"/>
      <c r="CN1" s="580"/>
      <c r="CQ1" s="248" t="s">
        <v>5</v>
      </c>
      <c r="CR1" s="249" t="s">
        <v>6</v>
      </c>
      <c r="CS1" s="249" t="s">
        <v>7</v>
      </c>
      <c r="CT1" s="249" t="s">
        <v>8</v>
      </c>
      <c r="CU1" s="249" t="s">
        <v>9</v>
      </c>
      <c r="CV1" s="296" t="s">
        <v>10</v>
      </c>
      <c r="CW1" s="462" t="s">
        <v>11</v>
      </c>
      <c r="CX1" s="462"/>
      <c r="CY1" s="250"/>
      <c r="CZ1" s="250"/>
      <c r="DA1" s="250"/>
      <c r="DB1" s="291"/>
    </row>
    <row r="2" spans="1:124" x14ac:dyDescent="0.25">
      <c r="A2" s="189"/>
      <c r="B2" s="359"/>
      <c r="C2" s="359"/>
      <c r="D2" s="359"/>
      <c r="E2" s="359"/>
      <c r="F2" s="359"/>
      <c r="G2" s="359"/>
      <c r="H2" s="359"/>
      <c r="I2" s="359"/>
      <c r="J2" s="359"/>
      <c r="K2" s="359"/>
      <c r="L2" s="359"/>
      <c r="M2" s="359"/>
      <c r="N2" s="359"/>
      <c r="O2" s="359"/>
      <c r="P2" s="359"/>
      <c r="Q2" s="359"/>
      <c r="R2" s="359"/>
      <c r="S2" s="359"/>
      <c r="T2" s="359"/>
      <c r="U2" s="359"/>
      <c r="V2" s="359"/>
      <c r="W2" s="359"/>
      <c r="X2" s="359"/>
      <c r="Y2" s="359"/>
      <c r="Z2" s="359"/>
      <c r="AA2" s="359"/>
      <c r="AB2" s="359"/>
      <c r="AC2" s="359"/>
      <c r="AD2" s="359"/>
      <c r="AE2" s="359"/>
      <c r="AF2" s="359"/>
      <c r="AG2" s="359"/>
      <c r="AH2" s="359"/>
      <c r="AI2" s="359"/>
      <c r="AJ2" s="359"/>
      <c r="AK2" s="359"/>
      <c r="AL2" s="27"/>
      <c r="AM2" s="359"/>
      <c r="AN2" s="359"/>
      <c r="AO2" s="359"/>
      <c r="AP2" s="359"/>
      <c r="AQ2" s="359"/>
      <c r="AR2" s="359"/>
      <c r="AS2" s="359"/>
      <c r="AT2" s="359"/>
      <c r="AU2" s="359"/>
      <c r="AV2" s="359"/>
      <c r="AW2" s="359"/>
      <c r="AX2" s="359"/>
      <c r="AY2" s="359"/>
      <c r="AZ2" s="359"/>
      <c r="BA2" s="359"/>
      <c r="BC2" s="372"/>
      <c r="BD2" s="373"/>
      <c r="BE2" s="373"/>
      <c r="BF2" s="373"/>
      <c r="BG2" s="373"/>
      <c r="BH2" s="373"/>
      <c r="BI2" s="373"/>
      <c r="BJ2" s="373"/>
      <c r="BK2" s="373"/>
      <c r="BL2" s="373"/>
      <c r="BM2" s="373"/>
      <c r="BN2" s="373"/>
      <c r="BO2" s="373"/>
      <c r="BP2" s="373"/>
      <c r="BQ2" s="373"/>
      <c r="BR2" s="374"/>
      <c r="BT2" s="189"/>
      <c r="BU2" s="189"/>
      <c r="BV2" s="288"/>
      <c r="BW2" s="288">
        <f>BY7+BY9</f>
        <v>193.69516666666669</v>
      </c>
      <c r="BX2" s="288"/>
      <c r="BY2" s="288"/>
      <c r="BZ2" s="288"/>
      <c r="CA2" s="288"/>
      <c r="CB2" s="288"/>
      <c r="CC2" s="288"/>
      <c r="CD2" s="288"/>
      <c r="CE2" s="113" t="s">
        <v>12</v>
      </c>
      <c r="CF2" s="113"/>
      <c r="CG2" s="113"/>
      <c r="CJ2" s="533" t="s">
        <v>13</v>
      </c>
      <c r="CK2" s="533"/>
      <c r="CL2" s="533"/>
      <c r="CM2" s="533"/>
      <c r="CN2" s="533"/>
      <c r="CQ2" s="8" t="s">
        <v>14</v>
      </c>
      <c r="CR2" s="297">
        <f>IF($H$23="Width",                IF(OR($H$37=1,$H$37=3),      1,     2),       IF(OR($H$37=1,$H$37=3),       2,    1))</f>
        <v>2</v>
      </c>
      <c r="CS2" s="297">
        <f>IF(H23="Width",          IF(OR(H37=2,H37=4),         1,       IF(H37=3,          2,         0)),       IF(OR(H37=2,H37=4),       2,        IF(H37=3,        1,       0)))</f>
        <v>0</v>
      </c>
      <c r="CT2" s="297">
        <f>IF($H$23="Width",         IF($H$37=3,       1,        IF(H37=4,   2,    0)),        IF($H$37=3,       2,    IF(H37=4,   1,     0)))</f>
        <v>0</v>
      </c>
      <c r="CU2" s="297">
        <f>IF($H$23="Width",         IF($H$37=4,       1,         0),        IF($H$37=4,       2,       0))</f>
        <v>0</v>
      </c>
      <c r="CV2" s="297">
        <f>IF(CX2&gt;H25,1,2)</f>
        <v>2</v>
      </c>
      <c r="CW2" s="463">
        <f>IF(H37=1,        CX32,        IF(H37=2,       CX96,      IF(H37=3,         CX150,             CX190)))</f>
        <v>1</v>
      </c>
      <c r="CX2" s="463"/>
      <c r="CY2" s="297"/>
      <c r="CZ2" s="297"/>
      <c r="DA2" s="297"/>
      <c r="DB2" s="297"/>
    </row>
    <row r="3" spans="1:124" ht="23.25" x14ac:dyDescent="0.3">
      <c r="A3" s="189"/>
      <c r="B3" s="189"/>
      <c r="C3" s="189"/>
      <c r="D3" s="189"/>
      <c r="E3" s="189"/>
      <c r="F3" s="189"/>
      <c r="G3" s="189"/>
      <c r="H3" s="360"/>
      <c r="I3" s="360"/>
      <c r="J3" s="189"/>
      <c r="K3" s="189"/>
      <c r="L3" s="189"/>
      <c r="M3" s="189"/>
      <c r="N3" s="189"/>
      <c r="O3" s="189"/>
      <c r="P3" s="189"/>
      <c r="Q3" s="189"/>
      <c r="R3" s="189"/>
      <c r="S3" s="189"/>
      <c r="T3" s="189"/>
      <c r="U3" s="189"/>
      <c r="V3" s="189"/>
      <c r="W3" s="189"/>
      <c r="X3" s="189"/>
      <c r="Y3" s="189"/>
      <c r="Z3" s="189"/>
      <c r="AA3" s="189"/>
      <c r="AB3" s="189"/>
      <c r="AC3" s="189"/>
      <c r="AD3" s="189"/>
      <c r="AE3" s="189"/>
      <c r="AF3" s="189"/>
      <c r="AG3" s="189"/>
      <c r="AH3" s="189"/>
      <c r="AI3" s="189"/>
      <c r="AJ3" s="189"/>
      <c r="AK3" s="189"/>
      <c r="AL3" s="25"/>
      <c r="AM3" s="375"/>
      <c r="AN3" s="375"/>
      <c r="AO3" s="375"/>
      <c r="AP3" s="375"/>
      <c r="AQ3" s="375"/>
      <c r="AR3" s="375"/>
      <c r="AS3" s="375"/>
      <c r="AT3" s="375"/>
      <c r="AU3" s="375"/>
      <c r="AV3" s="375"/>
      <c r="AW3" s="375"/>
      <c r="AX3" s="375"/>
      <c r="AY3" s="375"/>
      <c r="AZ3" s="375"/>
      <c r="BA3" s="375"/>
      <c r="BC3" s="376"/>
      <c r="BD3" s="377"/>
      <c r="BE3" s="377"/>
      <c r="BF3" s="377"/>
      <c r="BG3" s="377"/>
      <c r="BH3" s="377"/>
      <c r="BI3" s="377"/>
      <c r="BJ3" s="377"/>
      <c r="BK3" s="377"/>
      <c r="BL3" s="377"/>
      <c r="BM3" s="377"/>
      <c r="BN3" s="377"/>
      <c r="BO3" s="377"/>
      <c r="BP3" s="377"/>
      <c r="BQ3" s="377"/>
      <c r="BR3" s="378"/>
      <c r="BT3" s="189"/>
      <c r="BU3" s="189"/>
      <c r="BV3" s="288"/>
      <c r="BW3" s="288">
        <f>CB67-(((12*BZ61*BZ63)/1728)*0.4)</f>
        <v>154.57074074074075</v>
      </c>
      <c r="BX3" s="288"/>
      <c r="BY3" s="288"/>
      <c r="BZ3" s="288"/>
      <c r="CA3" s="288"/>
      <c r="CB3" s="288"/>
      <c r="CC3" s="288"/>
      <c r="CD3" s="288"/>
      <c r="CE3" s="288">
        <f>IF(OR(H37=1,H37=3),CR2,CS2)</f>
        <v>2</v>
      </c>
      <c r="CF3" s="288"/>
      <c r="CG3" s="288"/>
      <c r="CJ3" s="534" t="s">
        <v>15</v>
      </c>
      <c r="CK3" s="534"/>
      <c r="CL3" s="534"/>
      <c r="CM3" s="534"/>
      <c r="CN3" s="534"/>
      <c r="CY3" s="5"/>
      <c r="CZ3" s="5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</row>
    <row r="4" spans="1:124" ht="26.25" x14ac:dyDescent="0.3">
      <c r="A4" s="189"/>
      <c r="B4" s="189"/>
      <c r="C4" s="189"/>
      <c r="D4" s="189"/>
      <c r="E4" s="189"/>
      <c r="F4" s="189"/>
      <c r="G4" s="189"/>
      <c r="H4" s="360"/>
      <c r="I4" s="360"/>
      <c r="J4" s="189"/>
      <c r="K4" s="189"/>
      <c r="L4" s="189"/>
      <c r="M4" s="189"/>
      <c r="N4" s="189"/>
      <c r="O4" s="189"/>
      <c r="P4" s="189"/>
      <c r="Q4" s="189"/>
      <c r="R4" s="189"/>
      <c r="S4" s="189"/>
      <c r="T4" s="189"/>
      <c r="U4" s="189"/>
      <c r="V4" s="189"/>
      <c r="W4" s="189"/>
      <c r="X4" s="189"/>
      <c r="Y4" s="189"/>
      <c r="Z4" s="189"/>
      <c r="AA4" s="189"/>
      <c r="AB4" s="189"/>
      <c r="AC4" s="189"/>
      <c r="AD4" s="189"/>
      <c r="AE4" s="189"/>
      <c r="AF4" s="189"/>
      <c r="AG4" s="189"/>
      <c r="AH4" s="189"/>
      <c r="AI4" s="189"/>
      <c r="AJ4" s="189"/>
      <c r="AK4" s="189"/>
      <c r="AL4" s="26"/>
      <c r="AM4" s="375"/>
      <c r="AN4" s="375"/>
      <c r="AO4" s="375"/>
      <c r="AP4" s="375"/>
      <c r="AQ4" s="375"/>
      <c r="AR4" s="375"/>
      <c r="AS4" s="375"/>
      <c r="AT4" s="375"/>
      <c r="AU4" s="375"/>
      <c r="AV4" s="375"/>
      <c r="AW4" s="375"/>
      <c r="AX4" s="375"/>
      <c r="AY4" s="375"/>
      <c r="AZ4" s="375"/>
      <c r="BA4" s="375"/>
      <c r="BC4" s="379"/>
      <c r="BD4" s="380"/>
      <c r="BE4" s="380"/>
      <c r="BF4" s="380"/>
      <c r="BG4" s="380"/>
      <c r="BH4" s="380"/>
      <c r="BI4" s="380"/>
      <c r="BJ4" s="380"/>
      <c r="BK4" s="380"/>
      <c r="BL4" s="380"/>
      <c r="BM4" s="380"/>
      <c r="BN4" s="380"/>
      <c r="BO4" s="380"/>
      <c r="BP4" s="380"/>
      <c r="BQ4" s="380"/>
      <c r="BR4" s="381"/>
      <c r="BT4" s="189"/>
      <c r="BU4" s="371"/>
      <c r="BV4" s="288"/>
      <c r="BW4" s="542" t="s">
        <v>16</v>
      </c>
      <c r="BX4" s="542"/>
      <c r="BY4" s="542"/>
      <c r="BZ4" s="510" t="s">
        <v>17</v>
      </c>
      <c r="CA4" s="510"/>
      <c r="CB4" s="510"/>
      <c r="CC4" s="510"/>
      <c r="CD4" s="439" t="s">
        <v>18</v>
      </c>
      <c r="CE4" s="439"/>
      <c r="CF4" s="439"/>
      <c r="CG4" s="114" t="s">
        <v>19</v>
      </c>
      <c r="CH4" s="97"/>
      <c r="CI4" s="97"/>
      <c r="CJ4" s="534" t="s">
        <v>20</v>
      </c>
      <c r="CK4" s="534"/>
      <c r="CL4" s="534"/>
      <c r="CM4" s="534"/>
      <c r="CN4" s="534"/>
      <c r="CO4" s="97"/>
      <c r="CP4" s="512" t="s">
        <v>21</v>
      </c>
      <c r="CQ4" s="512"/>
      <c r="CR4" s="512"/>
      <c r="CS4" s="512"/>
      <c r="CT4" s="512"/>
      <c r="CU4" s="512"/>
      <c r="CV4" s="512"/>
      <c r="CW4" s="512"/>
      <c r="CX4" s="512"/>
      <c r="CY4" s="495"/>
      <c r="CZ4" s="495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</row>
    <row r="5" spans="1:124" ht="26.25" x14ac:dyDescent="0.3">
      <c r="A5" s="189"/>
      <c r="B5" s="189"/>
      <c r="C5" s="189"/>
      <c r="D5" s="189"/>
      <c r="E5" s="189"/>
      <c r="F5" s="189"/>
      <c r="G5" s="189"/>
      <c r="H5" s="360"/>
      <c r="I5" s="360"/>
      <c r="J5" s="189"/>
      <c r="K5" s="189"/>
      <c r="L5" s="189"/>
      <c r="M5" s="189"/>
      <c r="N5" s="189"/>
      <c r="O5" s="616"/>
      <c r="P5" s="613"/>
      <c r="Q5" s="613"/>
      <c r="R5" s="613"/>
      <c r="S5" s="613"/>
      <c r="T5" s="613"/>
      <c r="U5" s="613"/>
      <c r="V5" s="613"/>
      <c r="W5" s="613"/>
      <c r="X5" s="613"/>
      <c r="Y5" s="613"/>
      <c r="Z5" s="613"/>
      <c r="AA5" s="613"/>
      <c r="AB5" s="613"/>
      <c r="AC5" s="613"/>
      <c r="AD5" s="613"/>
      <c r="AE5" s="613"/>
      <c r="AF5" s="613"/>
      <c r="AG5" s="613"/>
      <c r="AH5" s="613"/>
      <c r="AI5" s="613"/>
      <c r="AJ5" s="613"/>
      <c r="AK5" s="189"/>
      <c r="AL5" s="27"/>
      <c r="AM5" s="375"/>
      <c r="AN5" s="375"/>
      <c r="AO5" s="375"/>
      <c r="AP5" s="375"/>
      <c r="AQ5" s="375"/>
      <c r="AR5" s="375"/>
      <c r="AS5" s="375"/>
      <c r="AT5" s="375"/>
      <c r="AU5" s="375"/>
      <c r="AV5" s="375"/>
      <c r="AW5" s="375"/>
      <c r="AX5" s="375"/>
      <c r="AY5" s="375"/>
      <c r="AZ5" s="375"/>
      <c r="BA5" s="375"/>
      <c r="BC5" s="379"/>
      <c r="BD5" s="380"/>
      <c r="BE5" s="382"/>
      <c r="BF5" s="380"/>
      <c r="BG5" s="380"/>
      <c r="BH5" s="380"/>
      <c r="BI5" s="380"/>
      <c r="BJ5" s="380"/>
      <c r="BK5" s="380"/>
      <c r="BL5" s="380"/>
      <c r="BM5" s="380"/>
      <c r="BN5" s="380"/>
      <c r="BO5" s="380"/>
      <c r="BP5" s="380"/>
      <c r="BQ5" s="380"/>
      <c r="BR5" s="381"/>
      <c r="BT5" s="189"/>
      <c r="BU5" s="371"/>
      <c r="BV5" s="510"/>
      <c r="BW5" s="514" t="s">
        <v>22</v>
      </c>
      <c r="BX5" s="514"/>
      <c r="BY5" s="160">
        <f>IF($H$15="Imperial",_xlfn.XLOOKUP($H$19,BW152:BW154,BX152:BX154),_xlfn.XLOOKUP($H$19,BW152:BW154,BY152:BY154))</f>
        <v>87</v>
      </c>
      <c r="BZ5" s="509" t="s">
        <v>23</v>
      </c>
      <c r="CA5" s="509"/>
      <c r="CB5" s="509"/>
      <c r="CC5" s="161">
        <f>IF($H$15="Imperial",_xlfn.XLOOKUP($H$19,BW152:BW154,BZ152:BZ154),_xlfn.XLOOKUP($H$19,BW152:BW154,CA152:CA154))</f>
        <v>87</v>
      </c>
      <c r="CD5" s="514" t="s">
        <v>24</v>
      </c>
      <c r="CE5" s="514"/>
      <c r="CF5" s="162">
        <f>BX65</f>
        <v>80</v>
      </c>
      <c r="CG5" s="163" t="s">
        <v>25</v>
      </c>
      <c r="CH5" s="97"/>
      <c r="CI5" s="97"/>
      <c r="CJ5" s="534" t="s">
        <v>26</v>
      </c>
      <c r="CK5" s="534"/>
      <c r="CL5" s="534"/>
      <c r="CM5" s="534"/>
      <c r="CN5" s="534"/>
      <c r="CO5" s="97"/>
      <c r="CP5" s="512"/>
      <c r="CQ5" s="512"/>
      <c r="CR5" s="512"/>
      <c r="CS5" s="512"/>
      <c r="CT5" s="512"/>
      <c r="CU5" s="512"/>
      <c r="CV5" s="512"/>
      <c r="CW5" s="512"/>
      <c r="CX5" s="512"/>
      <c r="CY5" s="495"/>
      <c r="CZ5" s="495"/>
      <c r="DB5" s="3"/>
      <c r="DE5" s="3"/>
      <c r="DF5" s="3"/>
      <c r="DG5" s="3"/>
      <c r="DH5" s="3"/>
      <c r="DI5" s="3"/>
      <c r="DJ5" s="3"/>
      <c r="DK5" s="3"/>
      <c r="DL5" s="3"/>
      <c r="DM5" s="3"/>
    </row>
    <row r="6" spans="1:124" ht="21" x14ac:dyDescent="0.35">
      <c r="A6" s="189"/>
      <c r="B6" s="543" t="s">
        <v>27</v>
      </c>
      <c r="C6" s="543"/>
      <c r="D6" s="544"/>
      <c r="E6" s="544"/>
      <c r="F6" s="544"/>
      <c r="G6" s="544"/>
      <c r="H6" s="544"/>
      <c r="I6" s="544"/>
      <c r="J6" s="544"/>
      <c r="K6" s="544"/>
      <c r="L6" s="544"/>
      <c r="M6" s="362"/>
      <c r="N6" s="189"/>
      <c r="O6" s="613" t="s">
        <v>28</v>
      </c>
      <c r="P6" s="613"/>
      <c r="Q6" s="613"/>
      <c r="R6" s="613"/>
      <c r="S6" s="613"/>
      <c r="T6" s="613"/>
      <c r="U6" s="613"/>
      <c r="V6" s="613"/>
      <c r="W6" s="613"/>
      <c r="X6" s="613"/>
      <c r="Y6" s="613"/>
      <c r="Z6" s="613"/>
      <c r="AA6" s="613"/>
      <c r="AB6" s="613"/>
      <c r="AC6" s="613"/>
      <c r="AD6" s="613"/>
      <c r="AE6" s="613"/>
      <c r="AF6" s="613"/>
      <c r="AG6" s="613"/>
      <c r="AH6" s="613"/>
      <c r="AI6" s="613"/>
      <c r="AJ6" s="613"/>
      <c r="AK6" s="362"/>
      <c r="AL6" s="27"/>
      <c r="AM6" s="375"/>
      <c r="AN6" s="375"/>
      <c r="AO6" s="375"/>
      <c r="AP6" s="375"/>
      <c r="AQ6" s="375"/>
      <c r="AR6" s="375"/>
      <c r="AS6" s="375"/>
      <c r="AT6" s="375"/>
      <c r="AU6" s="375"/>
      <c r="AV6" s="375"/>
      <c r="AW6" s="375"/>
      <c r="AX6" s="375"/>
      <c r="AY6" s="375"/>
      <c r="AZ6" s="375"/>
      <c r="BA6" s="375"/>
      <c r="BC6" s="383"/>
      <c r="BD6" s="384"/>
      <c r="BE6" s="385"/>
      <c r="BF6" s="384"/>
      <c r="BG6" s="384"/>
      <c r="BH6" s="384"/>
      <c r="BI6" s="384"/>
      <c r="BJ6" s="384"/>
      <c r="BK6" s="384"/>
      <c r="BL6" s="384"/>
      <c r="BM6" s="384"/>
      <c r="BN6" s="384"/>
      <c r="BO6" s="384"/>
      <c r="BP6" s="384"/>
      <c r="BQ6" s="384"/>
      <c r="BR6" s="386"/>
      <c r="BT6" s="189"/>
      <c r="BU6" s="387"/>
      <c r="BV6" s="510"/>
      <c r="BW6" s="284"/>
      <c r="BX6" s="284"/>
      <c r="BY6" s="164"/>
      <c r="BZ6" s="285"/>
      <c r="CA6" s="285"/>
      <c r="CB6" s="285"/>
      <c r="CC6" s="165"/>
      <c r="CD6" s="284"/>
      <c r="CE6" s="284"/>
      <c r="CF6" s="162"/>
      <c r="CG6" s="163"/>
      <c r="CH6" s="99"/>
      <c r="CI6" s="99"/>
      <c r="CJ6" s="99"/>
      <c r="CK6" s="99"/>
      <c r="CL6" s="99"/>
      <c r="CM6" s="99"/>
      <c r="CP6" s="519" t="s">
        <v>29</v>
      </c>
      <c r="CQ6" s="519"/>
      <c r="CR6" s="519"/>
      <c r="CS6" s="519"/>
      <c r="CT6" s="519"/>
      <c r="CU6" s="519"/>
      <c r="CV6" s="519"/>
      <c r="CW6" s="519"/>
      <c r="CX6" s="519"/>
      <c r="CY6" s="495"/>
      <c r="CZ6" s="495"/>
      <c r="DB6" s="4"/>
      <c r="DE6" s="5"/>
      <c r="DF6" s="5"/>
      <c r="DG6" s="5"/>
      <c r="DH6" s="5"/>
      <c r="DI6" s="5"/>
      <c r="DJ6" s="5"/>
      <c r="DK6" s="5"/>
      <c r="DL6" s="5"/>
      <c r="DM6" s="5"/>
    </row>
    <row r="7" spans="1:124" ht="21.75" thickBot="1" x14ac:dyDescent="0.4">
      <c r="A7" s="189"/>
      <c r="B7" s="363"/>
      <c r="C7" s="364" t="s">
        <v>30</v>
      </c>
      <c r="D7" s="443"/>
      <c r="E7" s="443"/>
      <c r="F7" s="443"/>
      <c r="G7" s="443"/>
      <c r="H7" s="443"/>
      <c r="I7" s="443"/>
      <c r="J7" s="443"/>
      <c r="K7" s="443"/>
      <c r="L7" s="443"/>
      <c r="M7" s="443"/>
      <c r="N7" s="362"/>
      <c r="O7" s="189"/>
      <c r="P7" s="189"/>
      <c r="Q7" s="189"/>
      <c r="R7" s="189"/>
      <c r="S7" s="189"/>
      <c r="T7" s="189"/>
      <c r="U7" s="189"/>
      <c r="V7" s="189"/>
      <c r="W7" s="189"/>
      <c r="X7" s="189"/>
      <c r="Y7" s="189"/>
      <c r="Z7" s="189"/>
      <c r="AA7" s="189"/>
      <c r="AB7" s="362"/>
      <c r="AC7" s="362"/>
      <c r="AD7" s="362"/>
      <c r="AE7" s="362"/>
      <c r="AF7" s="362"/>
      <c r="AG7" s="362"/>
      <c r="AH7" s="362"/>
      <c r="AI7" s="362"/>
      <c r="AJ7" s="362"/>
      <c r="AK7" s="362"/>
      <c r="AL7" s="189"/>
      <c r="AM7" s="375"/>
      <c r="AN7" s="361"/>
      <c r="AO7" s="361"/>
      <c r="AP7" s="361"/>
      <c r="AQ7" s="361"/>
      <c r="AR7" s="361"/>
      <c r="AS7" s="361"/>
      <c r="AT7" s="361"/>
      <c r="AU7" s="361"/>
      <c r="AV7" s="361"/>
      <c r="AW7" s="361"/>
      <c r="AX7" s="361"/>
      <c r="AY7" s="361"/>
      <c r="AZ7" s="361"/>
      <c r="BA7" s="375"/>
      <c r="BB7" s="388"/>
      <c r="BC7" s="591"/>
      <c r="BD7" s="590"/>
      <c r="BE7" s="590"/>
      <c r="BF7" s="590"/>
      <c r="BG7" s="590"/>
      <c r="BH7" s="590"/>
      <c r="BI7" s="590"/>
      <c r="BJ7" s="590"/>
      <c r="BK7" s="590"/>
      <c r="BL7" s="590"/>
      <c r="BM7" s="590"/>
      <c r="BN7" s="590"/>
      <c r="BO7" s="590"/>
      <c r="BP7" s="590"/>
      <c r="BQ7" s="590"/>
      <c r="BR7" s="594"/>
      <c r="BS7" s="388"/>
      <c r="BT7" s="388"/>
      <c r="BU7" s="389"/>
      <c r="BV7" s="510"/>
      <c r="BW7" s="284" t="s">
        <v>31</v>
      </c>
      <c r="BX7" s="284"/>
      <c r="BY7" s="160">
        <f>IF($H$15="Imperial",_xlfn.XLOOKUP($H$19,BW160:BW162,BX160:BX162),_xlfn.XLOOKUP($H$19,BW160:BW162,BY160:BY162))</f>
        <v>97.86</v>
      </c>
      <c r="BZ7" s="509" t="s">
        <v>32</v>
      </c>
      <c r="CA7" s="509"/>
      <c r="CB7" s="509"/>
      <c r="CC7" s="160">
        <f>IF($H$15="Imperial",_xlfn.XLOOKUP($H$19,BW160:BW162,BX160:BX162),_xlfn.XLOOKUP($H$19,BW160:BW162,BY160:BY162))</f>
        <v>97.86</v>
      </c>
      <c r="CD7" s="514" t="s">
        <v>32</v>
      </c>
      <c r="CE7" s="514"/>
      <c r="CF7" s="162">
        <f>BX67*2</f>
        <v>186.1</v>
      </c>
      <c r="CG7" s="163">
        <f>IF(H15="Imperial",           (((BZ61*(BZ63)*(BY5+H55))/1728)-BY7)*(H33/100),                    (((BZ61*(BZ63)*(BY5+H55))/1000000000)-BY7)*(H33/100))</f>
        <v>83.047666666666672</v>
      </c>
      <c r="CH7" s="100"/>
      <c r="CI7" s="100"/>
      <c r="CJ7" s="535" t="s">
        <v>33</v>
      </c>
      <c r="CK7" s="535"/>
      <c r="CL7" s="535"/>
      <c r="CM7" s="535"/>
      <c r="CN7" s="535"/>
      <c r="CO7" s="100"/>
      <c r="CP7" s="519"/>
      <c r="CQ7" s="519"/>
      <c r="CR7" s="519"/>
      <c r="CS7" s="519"/>
      <c r="CT7" s="519"/>
      <c r="CU7" s="519"/>
      <c r="CV7" s="519"/>
      <c r="CW7" s="519"/>
      <c r="CX7" s="519"/>
      <c r="CY7" s="493" t="s">
        <v>34</v>
      </c>
      <c r="CZ7" s="493" t="s">
        <v>35</v>
      </c>
      <c r="DB7" s="5"/>
      <c r="DF7" s="4"/>
      <c r="DG7" s="4"/>
      <c r="DH7" s="4"/>
      <c r="DI7" s="4"/>
      <c r="DJ7" s="4"/>
      <c r="DK7" s="5"/>
      <c r="DL7" s="5"/>
      <c r="DM7" s="5"/>
      <c r="DN7" s="5"/>
      <c r="DO7" s="5"/>
      <c r="DP7" s="5"/>
      <c r="DQ7" s="5"/>
      <c r="DR7" s="5"/>
      <c r="DS7" s="5"/>
      <c r="DT7" s="5"/>
    </row>
    <row r="8" spans="1:124" ht="17.25" customHeight="1" x14ac:dyDescent="0.35">
      <c r="B8" s="363"/>
      <c r="C8" s="364" t="s">
        <v>36</v>
      </c>
      <c r="D8" s="444"/>
      <c r="E8" s="444"/>
      <c r="F8" s="444"/>
      <c r="G8" s="444"/>
      <c r="H8" s="444"/>
      <c r="I8" s="444"/>
      <c r="J8" s="444"/>
      <c r="K8" s="444"/>
      <c r="L8" s="444"/>
      <c r="M8" s="370"/>
      <c r="N8" s="370"/>
      <c r="O8" s="189"/>
      <c r="P8" s="189"/>
      <c r="Q8" s="189"/>
      <c r="R8" s="189"/>
      <c r="S8" s="189"/>
      <c r="T8" s="189"/>
      <c r="U8" s="189"/>
      <c r="V8" s="189"/>
      <c r="W8" s="633" t="s">
        <v>37</v>
      </c>
      <c r="X8" s="634"/>
      <c r="Y8" s="634"/>
      <c r="Z8" s="634"/>
      <c r="AA8" s="634"/>
      <c r="AB8" s="634"/>
      <c r="AC8" s="634"/>
      <c r="AD8" s="634"/>
      <c r="AE8" s="634"/>
      <c r="AF8" s="634"/>
      <c r="AG8" s="635"/>
      <c r="AH8" s="370"/>
      <c r="AI8" s="370"/>
      <c r="AJ8" s="370"/>
      <c r="AK8" s="370"/>
      <c r="AL8" s="189"/>
      <c r="AM8" s="390"/>
      <c r="AN8" s="361"/>
      <c r="AO8" s="361"/>
      <c r="AP8" s="361"/>
      <c r="AQ8" s="361"/>
      <c r="AR8" s="361"/>
      <c r="AS8" s="361"/>
      <c r="AT8" s="361"/>
      <c r="AU8" s="361"/>
      <c r="AV8" s="361"/>
      <c r="AW8" s="361"/>
      <c r="AX8" s="361"/>
      <c r="AY8" s="361"/>
      <c r="AZ8" s="361"/>
      <c r="BA8" s="390"/>
      <c r="BC8" s="591"/>
      <c r="BD8" s="590"/>
      <c r="BE8" s="590"/>
      <c r="BF8" s="590"/>
      <c r="BG8" s="590"/>
      <c r="BH8" s="590"/>
      <c r="BI8" s="590"/>
      <c r="BJ8" s="590"/>
      <c r="BK8" s="590"/>
      <c r="BL8" s="590"/>
      <c r="BM8" s="590"/>
      <c r="BN8" s="590"/>
      <c r="BO8" s="590"/>
      <c r="BP8" s="590"/>
      <c r="BQ8" s="590"/>
      <c r="BR8" s="594"/>
      <c r="BT8" s="189"/>
      <c r="BU8" s="387"/>
      <c r="BV8" s="510"/>
      <c r="BW8" s="164"/>
      <c r="BX8" s="164"/>
      <c r="BY8" s="164"/>
      <c r="BZ8" s="180"/>
      <c r="CA8" s="180"/>
      <c r="CB8" s="180"/>
      <c r="CC8" s="180"/>
      <c r="CD8" s="164"/>
      <c r="CE8" s="164"/>
      <c r="CF8" s="164"/>
      <c r="CG8" s="181"/>
      <c r="CH8" s="17"/>
      <c r="CI8" s="99"/>
      <c r="CJ8" s="535"/>
      <c r="CK8" s="535"/>
      <c r="CL8" s="535"/>
      <c r="CM8" s="535"/>
      <c r="CN8" s="535"/>
      <c r="CO8" s="99"/>
      <c r="CP8" s="494" t="str">
        <f>IF($H$15="Imperial",       "Required Cubic Feet",       "Required Cubic Meters")</f>
        <v>Required Cubic Feet</v>
      </c>
      <c r="CQ8" s="494" t="str">
        <f>IF($H$15="Imperial",       "Required Cubic Inches",       "Required Cubic mm")</f>
        <v>Required Cubic Inches</v>
      </c>
      <c r="CR8" s="494" t="str">
        <f>IF(CR2=1,       "Constraint Dimension (Width)",       "Constraint Dimension (Length)")</f>
        <v>Constraint Dimension (Length)</v>
      </c>
      <c r="CS8" s="494" t="str">
        <f>IF(CR2=1,       "(Constraint Width-2endR Width)/midR Width",       "(Constriant Length-2endC length)/midC length")</f>
        <v>(Constriant Length-2endC length)/midC length</v>
      </c>
      <c r="CT8" s="494"/>
      <c r="CU8" s="494" t="str">
        <f>IF(CR2=1,       "RoundDown for Maximum Number of midR",       "RoundDown for Maximum Number of midCs per Row")</f>
        <v>RoundDown for Maximum Number of midCs per Row</v>
      </c>
      <c r="CV8" s="494"/>
      <c r="CW8" s="494" t="str">
        <f>IF(CR2=1,       "Max suggested Number of Rows by constraint",      "Maximum Number of Chambers per Row")</f>
        <v>Maximum Number of Chambers per Row</v>
      </c>
      <c r="CX8" s="494">
        <f>IF(H37&lt;3,     0,             IF(CR2=1,       "Max suggested Number of Rows by storage",      "Maximum Number of Chambers per Row"))</f>
        <v>0</v>
      </c>
      <c r="CY8" s="493"/>
      <c r="CZ8" s="493"/>
      <c r="DB8" s="300"/>
      <c r="DH8" s="301"/>
      <c r="DI8" s="301"/>
      <c r="DK8" s="302"/>
      <c r="DL8" s="302"/>
      <c r="DM8" s="302"/>
      <c r="DN8" s="302"/>
      <c r="DO8" s="302"/>
      <c r="DP8" s="302"/>
      <c r="DQ8" s="302"/>
      <c r="DR8" s="302"/>
      <c r="DS8" s="18"/>
      <c r="DT8" s="18"/>
    </row>
    <row r="9" spans="1:124" ht="17.25" customHeight="1" x14ac:dyDescent="0.35">
      <c r="B9" s="363"/>
      <c r="C9" s="364" t="s">
        <v>38</v>
      </c>
      <c r="D9" s="445"/>
      <c r="E9" s="444"/>
      <c r="F9" s="444"/>
      <c r="G9" s="444"/>
      <c r="H9" s="444"/>
      <c r="I9" s="444"/>
      <c r="J9" s="444"/>
      <c r="K9" s="444"/>
      <c r="L9" s="444"/>
      <c r="M9" s="370"/>
      <c r="N9" s="370"/>
      <c r="O9" s="189"/>
      <c r="P9" s="189"/>
      <c r="Q9" s="189"/>
      <c r="R9" s="189"/>
      <c r="S9" s="189"/>
      <c r="T9" s="189"/>
      <c r="U9" s="189"/>
      <c r="V9" s="189"/>
      <c r="W9" s="636"/>
      <c r="X9" s="637"/>
      <c r="Y9" s="637"/>
      <c r="Z9" s="637"/>
      <c r="AA9" s="637"/>
      <c r="AB9" s="637"/>
      <c r="AC9" s="637"/>
      <c r="AD9" s="637"/>
      <c r="AE9" s="637"/>
      <c r="AF9" s="637"/>
      <c r="AG9" s="638"/>
      <c r="AH9" s="370"/>
      <c r="AI9" s="370"/>
      <c r="AJ9" s="370"/>
      <c r="AK9" s="370"/>
      <c r="AL9" s="366"/>
      <c r="AM9" s="366"/>
      <c r="AN9" s="366"/>
      <c r="AO9" s="562"/>
      <c r="AP9" s="562"/>
      <c r="AQ9" s="562"/>
      <c r="AR9" s="562"/>
      <c r="AS9" s="562"/>
      <c r="AT9" s="562"/>
      <c r="AU9" s="562"/>
      <c r="AV9" s="562"/>
      <c r="AW9" s="562"/>
      <c r="AX9" s="366"/>
      <c r="AY9" s="189"/>
      <c r="AZ9" s="189"/>
      <c r="BA9" s="189"/>
      <c r="BC9" s="591"/>
      <c r="BD9" s="590"/>
      <c r="BE9" s="590"/>
      <c r="BF9" s="590"/>
      <c r="BG9" s="590"/>
      <c r="BH9" s="590"/>
      <c r="BI9" s="590"/>
      <c r="BJ9" s="590"/>
      <c r="BK9" s="590"/>
      <c r="BL9" s="590"/>
      <c r="BM9" s="590"/>
      <c r="BN9" s="590"/>
      <c r="BO9" s="590"/>
      <c r="BP9" s="590"/>
      <c r="BQ9" s="590"/>
      <c r="BR9" s="594"/>
      <c r="BT9" s="189"/>
      <c r="BU9" s="387"/>
      <c r="BV9" s="510" t="s">
        <v>39</v>
      </c>
      <c r="BW9" s="509" t="s">
        <v>25</v>
      </c>
      <c r="BX9" s="509"/>
      <c r="BY9" s="166">
        <f>IF(H15="Imperial",             (((((BY5+H55)*(BX63+H55+(H45/2))*BY61)/1728)-BY7)*(H33/100)),                    (((((BY5+H55)*(BX63+H55+(H45/2))*BY61)/1000000000)-BY7)*(H33/100)))</f>
        <v>95.83516666666668</v>
      </c>
      <c r="BZ9" s="509" t="s">
        <v>25</v>
      </c>
      <c r="CA9" s="509"/>
      <c r="CB9" s="509"/>
      <c r="CC9" s="166">
        <f>2*BY9</f>
        <v>191.67033333333336</v>
      </c>
      <c r="CD9" s="167" t="s">
        <v>40</v>
      </c>
      <c r="CE9" s="168"/>
      <c r="CF9" s="166">
        <f>2*BY67</f>
        <v>176.43037037037038</v>
      </c>
      <c r="CG9" s="163" t="s">
        <v>41</v>
      </c>
      <c r="CH9" s="17"/>
      <c r="CI9" s="99"/>
      <c r="CJ9" s="262" t="str">
        <f>IF($H$15="Imperial",          "Imperial (inches and ft)",          "Metric (mm and meters)")</f>
        <v>Imperial (inches and ft)</v>
      </c>
      <c r="CK9" s="513" t="str">
        <f>IF($H$23="Width",         "by system width",         "by system length")</f>
        <v>by system length</v>
      </c>
      <c r="CL9" s="513"/>
      <c r="CM9" s="513"/>
      <c r="CN9" s="513"/>
      <c r="CO9" s="101"/>
      <c r="CP9" s="494"/>
      <c r="CQ9" s="494"/>
      <c r="CR9" s="494"/>
      <c r="CS9" s="494"/>
      <c r="CT9" s="494"/>
      <c r="CU9" s="494"/>
      <c r="CV9" s="494"/>
      <c r="CW9" s="494"/>
      <c r="CX9" s="494"/>
      <c r="CY9" s="493"/>
      <c r="CZ9" s="493"/>
      <c r="DA9" s="6"/>
      <c r="DB9" s="6"/>
      <c r="DE9" s="303"/>
      <c r="DF9" s="7"/>
      <c r="DG9" s="7"/>
      <c r="DH9" s="19"/>
      <c r="DI9" s="19"/>
      <c r="DJ9" s="7"/>
      <c r="DK9" s="1"/>
      <c r="DL9" s="1"/>
      <c r="DM9" s="1"/>
      <c r="DN9" s="1"/>
      <c r="DO9" s="1"/>
      <c r="DP9" s="1"/>
      <c r="DQ9" s="1"/>
      <c r="DR9" s="1"/>
      <c r="DS9" s="9"/>
      <c r="DT9" s="9"/>
    </row>
    <row r="10" spans="1:124" ht="9" customHeight="1" thickBot="1" x14ac:dyDescent="0.3">
      <c r="B10" s="189"/>
      <c r="C10" s="366"/>
      <c r="D10" s="366"/>
      <c r="E10" s="366"/>
      <c r="F10" s="366"/>
      <c r="G10" s="366"/>
      <c r="H10" s="367"/>
      <c r="I10" s="367"/>
      <c r="J10" s="366"/>
      <c r="K10" s="366"/>
      <c r="L10" s="366"/>
      <c r="M10" s="366"/>
      <c r="N10" s="366"/>
      <c r="O10" s="366"/>
      <c r="P10" s="366"/>
      <c r="Q10" s="366"/>
      <c r="R10" s="366"/>
      <c r="S10" s="366"/>
      <c r="T10" s="366"/>
      <c r="U10" s="366"/>
      <c r="V10" s="366"/>
      <c r="W10" s="639"/>
      <c r="X10" s="640"/>
      <c r="Y10" s="640"/>
      <c r="Z10" s="640"/>
      <c r="AA10" s="640"/>
      <c r="AB10" s="640"/>
      <c r="AC10" s="640"/>
      <c r="AD10" s="640"/>
      <c r="AE10" s="640"/>
      <c r="AF10" s="640"/>
      <c r="AG10" s="641"/>
      <c r="AH10" s="366"/>
      <c r="AI10" s="366"/>
      <c r="AJ10" s="366"/>
      <c r="AK10" s="366"/>
      <c r="AL10" s="366"/>
      <c r="AM10" s="366"/>
      <c r="AN10" s="366"/>
      <c r="AO10" s="562"/>
      <c r="AP10" s="562"/>
      <c r="AQ10" s="562"/>
      <c r="AR10" s="562"/>
      <c r="AS10" s="562"/>
      <c r="AT10" s="562"/>
      <c r="AU10" s="562"/>
      <c r="AV10" s="562"/>
      <c r="AW10" s="562"/>
      <c r="AX10" s="366"/>
      <c r="AY10" s="189"/>
      <c r="AZ10" s="189"/>
      <c r="BA10" s="189"/>
      <c r="BC10" s="591"/>
      <c r="BD10" s="590"/>
      <c r="BE10" s="590"/>
      <c r="BF10" s="590"/>
      <c r="BG10" s="590"/>
      <c r="BH10" s="590"/>
      <c r="BI10" s="590"/>
      <c r="BJ10" s="590"/>
      <c r="BK10" s="590"/>
      <c r="BL10" s="590"/>
      <c r="BM10" s="590"/>
      <c r="BN10" s="590"/>
      <c r="BO10" s="590"/>
      <c r="BP10" s="590"/>
      <c r="BQ10" s="590"/>
      <c r="BR10" s="594"/>
      <c r="BT10" s="189"/>
      <c r="BU10" s="391"/>
      <c r="BV10" s="510"/>
      <c r="BW10" s="169"/>
      <c r="BX10" s="168"/>
      <c r="BY10" s="166"/>
      <c r="BZ10" s="284"/>
      <c r="CA10" s="170"/>
      <c r="CB10" s="171"/>
      <c r="CC10" s="166"/>
      <c r="CD10" s="169"/>
      <c r="CE10" s="168"/>
      <c r="CF10" s="166"/>
      <c r="CG10" s="172"/>
      <c r="CH10" s="17"/>
      <c r="CI10" s="18"/>
      <c r="CJ10" s="536" t="s">
        <v>42</v>
      </c>
      <c r="CK10" s="508" t="s">
        <v>43</v>
      </c>
      <c r="CL10" s="501" t="s">
        <v>44</v>
      </c>
      <c r="CM10" s="501" t="s">
        <v>45</v>
      </c>
      <c r="CN10" s="501" t="s">
        <v>46</v>
      </c>
      <c r="CO10" s="102"/>
      <c r="CP10" s="494"/>
      <c r="CQ10" s="494"/>
      <c r="CR10" s="494"/>
      <c r="CS10" s="494"/>
      <c r="CT10" s="494"/>
      <c r="CU10" s="494"/>
      <c r="CV10" s="494"/>
      <c r="CW10" s="494"/>
      <c r="CX10" s="494"/>
      <c r="CY10" s="499">
        <f>IF(CR2=1,        IF(H15="Imperial",        IF(CW12=1,        (BY63+H55-(H45/2))/12,      ((2*BY63)+((CW12-2)*BZ63))/12),     IF(CW12=1,         (BY63+H55-(H45/2))/1000,      ((2*BY63)+((CW12-2)*BZ63))/1000)),                        IF(H15="Imperial",       IF(CT20=1,         (BY63+H55-(H45/2))/12,      ((2*BY63)+((CT20-2)*BZ63))/12),                IF(CT20=1,          (BY63+H55-(H45/2))/1000,      ((2*BY63)+((CT20-2)*BZ63))/1000)))</f>
        <v>8.6666666666666661</v>
      </c>
      <c r="CZ10" s="499">
        <f>IF(CR2=1,   "N/A",   IF(H15="Imperial",      IF(CW12=1,    (BY5+H55+H55)/12,      ((2*BY65)+((CW12-2)*CD65))/12),         IF(CW12=1,     (BY5+H55+H55)/1000,      ((2*BY65)+((CW12-2)*CD65))/1000)))</f>
        <v>46.166666666666664</v>
      </c>
      <c r="DA10" s="6"/>
      <c r="DB10" s="6"/>
      <c r="DE10" s="303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20"/>
      <c r="DQ10" s="20"/>
      <c r="DR10" s="20"/>
      <c r="DS10" s="18"/>
      <c r="DT10" s="18"/>
    </row>
    <row r="11" spans="1:124" ht="51" customHeight="1" x14ac:dyDescent="0.25">
      <c r="A11" s="189"/>
      <c r="B11" s="365"/>
      <c r="C11" s="366"/>
      <c r="D11" s="366"/>
      <c r="E11" s="366"/>
      <c r="F11" s="366"/>
      <c r="G11" s="366"/>
      <c r="H11" s="367"/>
      <c r="I11" s="367"/>
      <c r="J11" s="366"/>
      <c r="K11" s="366"/>
      <c r="L11" s="366"/>
      <c r="M11" s="368"/>
      <c r="N11" s="368"/>
      <c r="O11" s="369"/>
      <c r="P11" s="368"/>
      <c r="Q11" s="368"/>
      <c r="R11" s="368"/>
      <c r="S11" s="368"/>
      <c r="T11" s="368"/>
      <c r="U11" s="368"/>
      <c r="V11" s="368"/>
      <c r="W11" s="368"/>
      <c r="X11" s="368"/>
      <c r="Y11" s="368"/>
      <c r="Z11" s="368"/>
      <c r="AA11" s="368"/>
      <c r="AB11" s="368"/>
      <c r="AC11" s="368"/>
      <c r="AD11" s="368"/>
      <c r="AE11" s="368"/>
      <c r="AF11" s="368"/>
      <c r="AG11" s="368"/>
      <c r="AH11" s="368"/>
      <c r="AI11" s="368"/>
      <c r="AJ11" s="368"/>
      <c r="AK11" s="368"/>
      <c r="AL11" s="366"/>
      <c r="AM11" s="366"/>
      <c r="AN11" s="366"/>
      <c r="AO11" s="366"/>
      <c r="AP11" s="366"/>
      <c r="AQ11" s="366"/>
      <c r="AR11" s="366"/>
      <c r="AS11" s="366"/>
      <c r="AT11" s="366"/>
      <c r="AU11" s="366"/>
      <c r="AV11" s="366"/>
      <c r="AW11" s="366"/>
      <c r="AX11" s="366"/>
      <c r="AY11" s="365"/>
      <c r="AZ11" s="365"/>
      <c r="BA11" s="365"/>
      <c r="BC11" s="461"/>
      <c r="BD11" s="453"/>
      <c r="BE11" s="453"/>
      <c r="BF11" s="453"/>
      <c r="BG11" s="453"/>
      <c r="BH11" s="453"/>
      <c r="BI11" s="453"/>
      <c r="BJ11" s="453"/>
      <c r="BK11" s="453"/>
      <c r="BL11" s="453"/>
      <c r="BM11" s="453"/>
      <c r="BN11" s="453"/>
      <c r="BO11" s="453"/>
      <c r="BP11" s="453"/>
      <c r="BQ11" s="453"/>
      <c r="BR11" s="459"/>
      <c r="BT11" s="189"/>
      <c r="BU11" s="391"/>
      <c r="BV11" s="510"/>
      <c r="BW11" s="169" t="s">
        <v>47</v>
      </c>
      <c r="BX11" s="168"/>
      <c r="BY11" s="166">
        <f>IF(H15="Imperial",                                        (((BY63*H55*BY61)/1728)*(H33/100))+((((H55-(H45/2))*(BY5+H55+H55)*BY61)/1728)*(H33/100)),                                                                                                                                                 (((BY63*H55*BY61)/1000000000)*(H33/100))+((((H55-(H45/2))*(BY5+H55+H55)*BY61)/1000000000)*(H33/100)))</f>
        <v>30.698611111111113</v>
      </c>
      <c r="BZ11" s="514" t="s">
        <v>47</v>
      </c>
      <c r="CA11" s="514"/>
      <c r="CB11" s="514"/>
      <c r="CC11" s="166">
        <f>IF(H15="Imperial",         2*(((BY61*BY63*H55)/1728)*(H33/100)),         2*(((BY61*BY63*H55)/1000000000)*(H33/100)))</f>
        <v>32.722222222222221</v>
      </c>
      <c r="CD11" s="169" t="s">
        <v>47</v>
      </c>
      <c r="CE11" s="168"/>
      <c r="CF11" s="166">
        <f>IF(H15="Imperial",          2*(((BY61*(H55-(H45/2))*(BX65+H55))/1728)*(H33/100)),                2*(((BY61*(H55-(H45/2))*(BX65+H55))/1000000000)*(H33/100)))</f>
        <v>23.766666666666666</v>
      </c>
      <c r="CG11" s="163">
        <f>IF(H15="Imperial",                (((BZ61*(BZ63)*H55)/1728)*(H33/100)),                     (((BZ61*(BZ63)*H55)/1000000000)*(H33/100)))</f>
        <v>14.811111111111112</v>
      </c>
      <c r="CH11" s="17"/>
      <c r="CI11" s="18"/>
      <c r="CJ11" s="536"/>
      <c r="CK11" s="508"/>
      <c r="CL11" s="501"/>
      <c r="CM11" s="501"/>
      <c r="CN11" s="501"/>
      <c r="CO11" s="98"/>
      <c r="CP11" s="494"/>
      <c r="CQ11" s="494"/>
      <c r="CR11" s="494"/>
      <c r="CS11" s="494"/>
      <c r="CT11" s="494"/>
      <c r="CU11" s="494"/>
      <c r="CV11" s="494"/>
      <c r="CW11" s="494"/>
      <c r="CX11" s="494"/>
      <c r="CY11" s="499"/>
      <c r="CZ11" s="499"/>
      <c r="DA11" s="6"/>
      <c r="DB11" s="6"/>
      <c r="DE11" s="9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20"/>
      <c r="DQ11" s="20"/>
      <c r="DR11" s="20"/>
      <c r="DS11" s="18"/>
      <c r="DT11" s="18"/>
    </row>
    <row r="12" spans="1:124" ht="3" customHeight="1" x14ac:dyDescent="0.25">
      <c r="B12" s="552" t="s">
        <v>48</v>
      </c>
      <c r="C12" s="553"/>
      <c r="D12" s="553"/>
      <c r="E12" s="553"/>
      <c r="F12" s="553"/>
      <c r="G12" s="553"/>
      <c r="H12" s="553"/>
      <c r="I12" s="553"/>
      <c r="J12" s="553"/>
      <c r="K12" s="553"/>
      <c r="L12" s="554"/>
      <c r="M12" s="621" t="str">
        <f>AM12</f>
        <v>SYSTEM RESULTS</v>
      </c>
      <c r="N12" s="622"/>
      <c r="O12" s="622"/>
      <c r="P12" s="622"/>
      <c r="Q12" s="622"/>
      <c r="R12" s="622"/>
      <c r="S12" s="622"/>
      <c r="T12" s="622"/>
      <c r="U12" s="622"/>
      <c r="V12" s="622"/>
      <c r="W12" s="622"/>
      <c r="X12" s="622"/>
      <c r="Y12" s="622"/>
      <c r="Z12" s="622"/>
      <c r="AA12" s="622"/>
      <c r="AB12" s="622"/>
      <c r="AC12" s="622"/>
      <c r="AD12" s="622"/>
      <c r="AE12" s="622"/>
      <c r="AF12" s="622"/>
      <c r="AG12" s="622"/>
      <c r="AH12" s="622"/>
      <c r="AI12" s="622"/>
      <c r="AJ12" s="622"/>
      <c r="AK12" s="623"/>
      <c r="AM12" s="558" t="s">
        <v>49</v>
      </c>
      <c r="AN12" s="559"/>
      <c r="AO12" s="559"/>
      <c r="AP12" s="559"/>
      <c r="AQ12" s="559"/>
      <c r="AR12" s="559"/>
      <c r="AS12" s="559"/>
      <c r="AT12" s="559"/>
      <c r="AU12" s="559"/>
      <c r="AV12" s="559"/>
      <c r="AW12" s="559"/>
      <c r="AX12" s="559"/>
      <c r="AY12" s="559"/>
      <c r="AZ12" s="559"/>
      <c r="BA12" s="560"/>
      <c r="BC12" s="461"/>
      <c r="BD12" s="453"/>
      <c r="BE12" s="453"/>
      <c r="BF12" s="453"/>
      <c r="BG12" s="453"/>
      <c r="BH12" s="453"/>
      <c r="BI12" s="453"/>
      <c r="BJ12" s="453"/>
      <c r="BK12" s="453"/>
      <c r="BL12" s="453"/>
      <c r="BM12" s="453"/>
      <c r="BN12" s="453"/>
      <c r="BO12" s="453"/>
      <c r="BP12" s="453"/>
      <c r="BQ12" s="453"/>
      <c r="BR12" s="459"/>
      <c r="BU12" s="18"/>
      <c r="BV12" s="510"/>
      <c r="BW12" s="168"/>
      <c r="BX12" s="168"/>
      <c r="BY12" s="166"/>
      <c r="BZ12" s="168"/>
      <c r="CA12" s="173"/>
      <c r="CB12" s="168"/>
      <c r="CC12" s="166"/>
      <c r="CD12" s="168"/>
      <c r="CE12" s="168"/>
      <c r="CF12" s="166"/>
      <c r="CG12" s="163"/>
      <c r="CH12" s="9"/>
      <c r="CI12" s="18"/>
      <c r="CJ12" s="536"/>
      <c r="CK12" s="508"/>
      <c r="CL12" s="501"/>
      <c r="CM12" s="501"/>
      <c r="CN12" s="501"/>
      <c r="CP12" s="495">
        <f>IF((H17-CN97-CN153-CN193)&lt;=0,       0,          IF($H$37=1,       $H$17,           IF($H$37=2,      $H$17-CN97,          IF($H$37=3,       $H$17-CN97-CN153,    IF(H37=4,     H17-CN97-CN153-CN193,    0)))))</f>
        <v>270</v>
      </c>
      <c r="CQ12" s="502">
        <f>IF($H$15="Imperial",         CP12*1728,        CP12*1000000000)</f>
        <v>466560</v>
      </c>
      <c r="CR12" s="495">
        <f>IF(H37=1,    H25,        IF(H37=2,         IF(CR2=1,        CN98,        CN99),      IF(H37=3,         IF(CR2=1,        CN155,       CN154),         IF(CR2=1,       CN194,        CN195))))</f>
        <v>50</v>
      </c>
      <c r="CS12" s="495">
        <f>IF($H$15="Imperial",                    IF(CR2=1,              ((CR12*12)-(2*BY63))/BZ63,                                    ((CR12*12)-(2*BY65))/CD65),                                                                                                                                                                            IF(CR2=1,                                                                                                                     ((CR12*1000)-(2*BY63))/BZ63,                                ((CR12*1000)-(2*BY65))/CD65))</f>
        <v>5.6216216216216219</v>
      </c>
      <c r="CT12" s="495"/>
      <c r="CU12" s="495">
        <f>IF(CS12&lt;0,      0,      IF(CR2=1,     IF(CP12&lt;=CC13,    0,      IF((ROUNDUP(((CP12-CC13)/CG15),0)&lt;(ROUNDDOWN(CS12,0))),     ROUNDUP((CP12-CC13)/CG15,0),      ROUNDDOWN(CS12,0))),    ROUNDDOWN(CS12,0)))</f>
        <v>5</v>
      </c>
      <c r="CV12" s="495"/>
      <c r="CW12" s="495">
        <f>IF(CP12&lt;=BY13,     1,       IF(H15="Imperial",             IF(CR2=1,         IF(CR12&lt;(((2*BY63)/12)),      1,     CU12+2),           IF(CR12&lt;(((2*BY65)/12)),      1,    CU12+2)),                                                                                       IF(CR2=1,         IF(CR12&lt;(((2*BY63)/1000)),      1,     CU12+2),           IF(CR12&lt;(((2*BY65)/1000)),      1,    CU12+2))))</f>
        <v>7</v>
      </c>
      <c r="CX12" s="495">
        <f>IF(CP12&lt;=BY13,     1,          IF(CR2=1,           IF(CP12&lt;=CC13,       2,          (ROUNDUP(((CP12-CC13)/CG15),0))+2),            IF(CP12&lt;=CF13,              2,                IF(H15="Imperial",                                                                               (ROUNDUP(((CP12-CF13)/(CF67+(((CD61*(H55-(H45/2))*CD65)/1728)*(H33/100)))),0))+2,        (ROUNDUP(((CP12-CF13)/(CF67+(((CD61*(H55-(H45/2))*CD65)/1000000000)*(H33/100)))),0))+2))))</f>
        <v>2</v>
      </c>
      <c r="CY12" s="497"/>
      <c r="CZ12" s="497"/>
      <c r="DA12" s="6"/>
      <c r="DB12" s="6"/>
      <c r="DE12" s="7"/>
      <c r="DF12" s="7"/>
      <c r="DI12" s="302"/>
      <c r="DJ12" s="302"/>
      <c r="DK12" s="302"/>
      <c r="DL12" s="18"/>
      <c r="DM12" s="18"/>
    </row>
    <row r="13" spans="1:124" s="251" customFormat="1" ht="29.45" customHeight="1" x14ac:dyDescent="0.35">
      <c r="B13" s="555"/>
      <c r="C13" s="556"/>
      <c r="D13" s="556"/>
      <c r="E13" s="556"/>
      <c r="F13" s="556"/>
      <c r="G13" s="556"/>
      <c r="H13" s="556"/>
      <c r="I13" s="556"/>
      <c r="J13" s="556"/>
      <c r="K13" s="556"/>
      <c r="L13" s="557"/>
      <c r="M13" s="624"/>
      <c r="N13" s="625"/>
      <c r="O13" s="625"/>
      <c r="P13" s="625"/>
      <c r="Q13" s="625"/>
      <c r="R13" s="625"/>
      <c r="S13" s="625"/>
      <c r="T13" s="625"/>
      <c r="U13" s="625"/>
      <c r="V13" s="625"/>
      <c r="W13" s="625"/>
      <c r="X13" s="625"/>
      <c r="Y13" s="625"/>
      <c r="Z13" s="625"/>
      <c r="AA13" s="625"/>
      <c r="AB13" s="625"/>
      <c r="AC13" s="625"/>
      <c r="AD13" s="625"/>
      <c r="AE13" s="625"/>
      <c r="AF13" s="625"/>
      <c r="AG13" s="625"/>
      <c r="AH13" s="625"/>
      <c r="AI13" s="625"/>
      <c r="AJ13" s="625"/>
      <c r="AK13" s="626"/>
      <c r="AM13" s="468"/>
      <c r="AN13" s="469"/>
      <c r="AO13" s="469"/>
      <c r="AP13" s="469"/>
      <c r="AQ13" s="469"/>
      <c r="AR13" s="469"/>
      <c r="AS13" s="469"/>
      <c r="AT13" s="469"/>
      <c r="AU13" s="469"/>
      <c r="AV13" s="469"/>
      <c r="AW13" s="469"/>
      <c r="AX13" s="469"/>
      <c r="AY13" s="469"/>
      <c r="AZ13" s="469"/>
      <c r="BA13" s="470"/>
      <c r="BB13" s="363"/>
      <c r="BC13" s="461"/>
      <c r="BD13" s="453"/>
      <c r="BE13" s="453"/>
      <c r="BF13" s="453"/>
      <c r="BG13" s="453"/>
      <c r="BH13" s="453"/>
      <c r="BI13" s="453"/>
      <c r="BJ13" s="453"/>
      <c r="BK13" s="453"/>
      <c r="BL13" s="453"/>
      <c r="BM13" s="453"/>
      <c r="BN13" s="453"/>
      <c r="BO13" s="453"/>
      <c r="BP13" s="453"/>
      <c r="BQ13" s="453"/>
      <c r="BR13" s="459"/>
      <c r="BS13" s="363"/>
      <c r="BU13" s="252"/>
      <c r="BV13" s="510"/>
      <c r="BW13" s="541" t="s">
        <v>50</v>
      </c>
      <c r="BX13" s="541"/>
      <c r="BY13" s="253">
        <f>BY9+BY11+BY7</f>
        <v>224.39377777777781</v>
      </c>
      <c r="BZ13" s="541" t="s">
        <v>50</v>
      </c>
      <c r="CA13" s="541"/>
      <c r="CB13" s="541"/>
      <c r="CC13" s="253">
        <f>CC9+CC11+CC7</f>
        <v>322.2525555555556</v>
      </c>
      <c r="CD13" s="541" t="s">
        <v>50</v>
      </c>
      <c r="CE13" s="541"/>
      <c r="CF13" s="253">
        <f>CF9+CF11+CF7</f>
        <v>386.29703703703706</v>
      </c>
      <c r="CG13" s="254" t="s">
        <v>50</v>
      </c>
      <c r="CH13" s="255"/>
      <c r="CI13" s="252"/>
      <c r="CJ13" s="536"/>
      <c r="CK13" s="256">
        <f>IF(CP12=0,      0,           IF(CS57=1,       IF(CS65=1,     1,      2),    IF(CS61=0,          IF(CS65=1,         2,         4),           IF(CS59=1,           IF(CS63=1,          3,          4),       4))))</f>
        <v>2</v>
      </c>
      <c r="CL13" s="256">
        <f>IF(CK13=1,                                BY9+BY11,                                     IF(CK13=2,                                     IF(CN33=1,                                   CF9+CF11,                                    CC9+CC11),                                                                                                   IF(CK13=3,                        IF(H15="Imperial",                    CC9+BY9+(((BY61*(BY5+H55)*(H55-(H45/2)))/1728)*(H33/100))+(((BY61*(BY63-H55)*H55)/1728)*(H33/100)),                                                                                                       CC9+BY9+(((BY61*(BY5+H55)*(H55-(H45/2)))/1000000000)*(H33/100))+(((BY61*(BY63-H55)*H55)/1000000000)*(H33/100))),                   BY67*4)))</f>
        <v>200.19703703703703</v>
      </c>
      <c r="CM13" s="256">
        <f>IF(CK13=1,                 BY7,                IF(CK13=2,               IF(CN33=1,            CF7,             CC7),          IF(CK13=3,         (2*BX67)+BY7,             4*BX67)))</f>
        <v>186.1</v>
      </c>
      <c r="CN13" s="256">
        <f>CL13+CM13</f>
        <v>386.29703703703706</v>
      </c>
      <c r="CP13" s="495"/>
      <c r="CQ13" s="502"/>
      <c r="CR13" s="495"/>
      <c r="CS13" s="495"/>
      <c r="CT13" s="495"/>
      <c r="CU13" s="495"/>
      <c r="CV13" s="495"/>
      <c r="CW13" s="495"/>
      <c r="CX13" s="495"/>
      <c r="CY13" s="497"/>
      <c r="CZ13" s="497"/>
      <c r="DA13" s="255"/>
      <c r="DB13" s="255"/>
      <c r="DE13" s="304"/>
      <c r="DF13" s="304"/>
      <c r="DI13" s="252"/>
      <c r="DJ13" s="252"/>
      <c r="DK13" s="252"/>
      <c r="DL13" s="252"/>
      <c r="DM13" s="252"/>
    </row>
    <row r="14" spans="1:124" ht="45.6" customHeight="1" x14ac:dyDescent="0.25">
      <c r="B14" s="212"/>
      <c r="C14" s="28"/>
      <c r="D14" s="28"/>
      <c r="E14" s="28"/>
      <c r="F14" s="28"/>
      <c r="G14" s="28"/>
      <c r="H14" s="305"/>
      <c r="I14" s="305"/>
      <c r="J14" s="28"/>
      <c r="K14" s="28"/>
      <c r="L14" s="29"/>
      <c r="M14" s="212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9"/>
      <c r="AM14" s="30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2"/>
      <c r="BC14" s="461"/>
      <c r="BD14" s="453"/>
      <c r="BE14" s="453"/>
      <c r="BF14" s="453"/>
      <c r="BG14" s="453"/>
      <c r="BH14" s="453"/>
      <c r="BI14" s="453"/>
      <c r="BJ14" s="453"/>
      <c r="BK14" s="453"/>
      <c r="BL14" s="453"/>
      <c r="BM14" s="453"/>
      <c r="BN14" s="453"/>
      <c r="BO14" s="453"/>
      <c r="BP14" s="453"/>
      <c r="BQ14" s="453"/>
      <c r="BR14" s="459"/>
      <c r="BU14" s="18"/>
      <c r="BV14" s="498"/>
      <c r="BW14" s="498"/>
      <c r="BX14" s="498"/>
      <c r="BY14" s="498"/>
      <c r="BZ14" s="498"/>
      <c r="CA14" s="498"/>
      <c r="CB14" s="498"/>
      <c r="CC14" s="498"/>
      <c r="CD14" s="498"/>
      <c r="CE14" s="498"/>
      <c r="CF14" s="498"/>
      <c r="CG14" s="114"/>
      <c r="CH14" s="9"/>
      <c r="CI14" s="18"/>
      <c r="CJ14" s="501" t="s">
        <v>51</v>
      </c>
      <c r="CK14" s="508" t="s">
        <v>43</v>
      </c>
      <c r="CL14" s="501" t="s">
        <v>44</v>
      </c>
      <c r="CM14" s="501" t="s">
        <v>45</v>
      </c>
      <c r="CN14" s="501" t="s">
        <v>46</v>
      </c>
      <c r="CP14" s="493" t="s">
        <v>52</v>
      </c>
      <c r="CQ14" s="493"/>
      <c r="CR14" s="493"/>
      <c r="CS14" s="493"/>
      <c r="CT14" s="493"/>
      <c r="CU14" s="493"/>
      <c r="CV14" s="493"/>
      <c r="CW14" s="493"/>
      <c r="CX14" s="132"/>
      <c r="CY14" s="497"/>
      <c r="CZ14" s="497"/>
      <c r="DA14" s="9"/>
      <c r="DB14" s="9"/>
      <c r="DE14" s="5"/>
      <c r="DF14" s="5"/>
      <c r="DG14" s="5"/>
      <c r="DH14" s="5"/>
      <c r="DI14" s="5"/>
      <c r="DJ14" s="5"/>
      <c r="DK14" s="5"/>
      <c r="DL14" s="5"/>
      <c r="DM14" s="18"/>
      <c r="DN14" s="18"/>
    </row>
    <row r="15" spans="1:124" ht="15" customHeight="1" x14ac:dyDescent="0.35">
      <c r="B15" s="306"/>
      <c r="C15" s="561" t="s">
        <v>53</v>
      </c>
      <c r="D15" s="561"/>
      <c r="E15" s="561"/>
      <c r="F15" s="561"/>
      <c r="G15" s="23"/>
      <c r="H15" s="547" t="s">
        <v>54</v>
      </c>
      <c r="I15" s="548"/>
      <c r="J15" s="549"/>
      <c r="K15" s="550"/>
      <c r="L15" s="33"/>
      <c r="M15" s="42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33"/>
      <c r="AM15" s="42"/>
      <c r="AN15" s="23"/>
      <c r="AO15" s="23"/>
      <c r="AP15" s="23"/>
      <c r="AQ15" s="23"/>
      <c r="AR15" s="23"/>
      <c r="AS15" s="23"/>
      <c r="AT15" s="36" t="s">
        <v>55</v>
      </c>
      <c r="AU15" s="491">
        <f>IF(H37=1,     CN47,        IF(H37=2,        CN47+CN100,        IF(H37=3,        CN47+CN100+CN156,                   CN47+CN100+CN156+CN196)))</f>
        <v>186.1</v>
      </c>
      <c r="AV15" s="491"/>
      <c r="AW15" s="491"/>
      <c r="AX15" s="37" t="str">
        <f>IF($H$15="Imperial","Cubic Feet", "Cubic Meters")</f>
        <v>Cubic Feet</v>
      </c>
      <c r="AY15" s="23"/>
      <c r="AZ15" s="23"/>
      <c r="BA15" s="33"/>
      <c r="BC15" s="592"/>
      <c r="BD15" s="453"/>
      <c r="BE15" s="453"/>
      <c r="BF15" s="453"/>
      <c r="BG15" s="453"/>
      <c r="BH15" s="453"/>
      <c r="BI15" s="453"/>
      <c r="BJ15" s="453"/>
      <c r="BK15" s="453"/>
      <c r="BL15" s="453"/>
      <c r="BM15" s="453"/>
      <c r="BN15" s="453"/>
      <c r="BO15" s="453"/>
      <c r="BP15" s="453"/>
      <c r="BQ15" s="453"/>
      <c r="BR15" s="459"/>
      <c r="BU15" s="18"/>
      <c r="BV15" s="498"/>
      <c r="BW15" s="498"/>
      <c r="BX15" s="498"/>
      <c r="BY15" s="498"/>
      <c r="BZ15" s="498"/>
      <c r="CA15" s="498"/>
      <c r="CB15" s="498"/>
      <c r="CC15" s="498"/>
      <c r="CD15" s="498"/>
      <c r="CE15" s="498"/>
      <c r="CF15" s="498"/>
      <c r="CG15" s="114">
        <f>CG7+CG11+BY7</f>
        <v>195.7187777777778</v>
      </c>
      <c r="CH15" s="9"/>
      <c r="CI15" s="18"/>
      <c r="CJ15" s="501"/>
      <c r="CK15" s="508"/>
      <c r="CL15" s="501"/>
      <c r="CM15" s="501"/>
      <c r="CN15" s="501"/>
      <c r="CP15" s="493"/>
      <c r="CQ15" s="493"/>
      <c r="CR15" s="493"/>
      <c r="CS15" s="493"/>
      <c r="CT15" s="493"/>
      <c r="CU15" s="493"/>
      <c r="CV15" s="493"/>
      <c r="CW15" s="493"/>
      <c r="CX15" s="493"/>
      <c r="CY15" s="497"/>
      <c r="CZ15" s="497"/>
      <c r="DA15" s="6"/>
      <c r="DB15" s="6"/>
      <c r="DE15" s="5"/>
      <c r="DF15" s="5"/>
      <c r="DG15" s="5"/>
      <c r="DH15" s="5"/>
      <c r="DI15" s="5"/>
      <c r="DJ15" s="5"/>
      <c r="DK15" s="5"/>
      <c r="DL15" s="5"/>
      <c r="DM15" s="18"/>
      <c r="DN15" s="18"/>
    </row>
    <row r="16" spans="1:124" ht="3.75" customHeight="1" x14ac:dyDescent="0.25">
      <c r="B16" s="306"/>
      <c r="C16" s="307"/>
      <c r="D16" s="307"/>
      <c r="E16" s="307"/>
      <c r="F16" s="307"/>
      <c r="G16" s="23"/>
      <c r="H16" s="238"/>
      <c r="I16" s="238"/>
      <c r="J16" s="23"/>
      <c r="K16" s="41"/>
      <c r="L16" s="33"/>
      <c r="M16" s="42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/>
      <c r="AM16" s="42"/>
      <c r="AN16" s="23"/>
      <c r="AO16" s="23"/>
      <c r="AP16" s="23"/>
      <c r="AQ16" s="23"/>
      <c r="AR16" s="23"/>
      <c r="AS16" s="23"/>
      <c r="AT16" s="23"/>
      <c r="AU16" s="198"/>
      <c r="AV16" s="198"/>
      <c r="AW16" s="198"/>
      <c r="AX16" s="23"/>
      <c r="AY16" s="23"/>
      <c r="AZ16" s="23"/>
      <c r="BA16" s="33"/>
      <c r="BC16" s="461"/>
      <c r="BD16" s="453"/>
      <c r="BE16" s="453"/>
      <c r="BF16" s="453"/>
      <c r="BG16" s="453"/>
      <c r="BH16" s="453"/>
      <c r="BI16" s="453"/>
      <c r="BJ16" s="453"/>
      <c r="BK16" s="453"/>
      <c r="BL16" s="453"/>
      <c r="BM16" s="453"/>
      <c r="BN16" s="453"/>
      <c r="BO16" s="453"/>
      <c r="BP16" s="453"/>
      <c r="BQ16" s="453"/>
      <c r="BR16" s="459"/>
      <c r="BU16" s="18"/>
      <c r="BV16" s="123"/>
      <c r="BW16" s="123"/>
      <c r="BX16" s="123"/>
      <c r="BY16" s="123"/>
      <c r="BZ16" s="123"/>
      <c r="CA16" s="123"/>
      <c r="CB16" s="123"/>
      <c r="CC16" s="123"/>
      <c r="CD16" s="124"/>
      <c r="CE16" s="124"/>
      <c r="CF16" s="124"/>
      <c r="CG16" s="114"/>
      <c r="CH16" s="9"/>
      <c r="CI16" s="18"/>
      <c r="CJ16" s="501"/>
      <c r="CK16" s="508"/>
      <c r="CL16" s="501"/>
      <c r="CM16" s="501"/>
      <c r="CN16" s="501"/>
      <c r="CP16" s="494" t="str">
        <f>IF(CR2=1,    "",      "number of endCs per fullR*endRendCvolumes")</f>
        <v>number of endCs per fullR*endRendCvolumes</v>
      </c>
      <c r="CQ16" s="494" t="str">
        <f>IF(CR2=1,       "",      "Max number of midC per fullR*endRmidC Volume")</f>
        <v>Max number of midC per fullR*endRmidC Volume</v>
      </c>
      <c r="CR16" s="494"/>
      <c r="CS16" s="494" t="str">
        <f>IF(CR2=1,     "",      "Number of End Rows")</f>
        <v>Number of End Rows</v>
      </c>
      <c r="CT16" s="494" t="str">
        <f>IF(CR2=1,        "",     "min number of rows suggested")</f>
        <v>min number of rows suggested</v>
      </c>
      <c r="CU16" s="494"/>
      <c r="CV16" s="493" t="s">
        <v>56</v>
      </c>
      <c r="CW16" s="493"/>
      <c r="CX16" s="493"/>
      <c r="CY16" s="497"/>
      <c r="CZ16" s="497"/>
      <c r="DA16" s="6"/>
      <c r="DB16" s="6"/>
      <c r="DE16" s="7"/>
      <c r="DF16" s="7"/>
      <c r="DG16" s="7"/>
      <c r="DH16" s="7"/>
      <c r="DI16" s="7"/>
      <c r="DJ16" s="308"/>
      <c r="DK16" s="308"/>
      <c r="DL16" s="308"/>
      <c r="DM16" s="18"/>
      <c r="DN16" s="18"/>
    </row>
    <row r="17" spans="2:118" ht="15.75" customHeight="1" x14ac:dyDescent="0.25">
      <c r="B17" s="306"/>
      <c r="C17" s="561" t="s">
        <v>57</v>
      </c>
      <c r="D17" s="561"/>
      <c r="E17" s="561"/>
      <c r="F17" s="561"/>
      <c r="G17" s="23"/>
      <c r="H17" s="545">
        <v>270</v>
      </c>
      <c r="I17" s="546"/>
      <c r="J17" s="23"/>
      <c r="K17" s="38" t="str">
        <f>IF($H$15="Imperial","ft³", "m³")</f>
        <v>ft³</v>
      </c>
      <c r="L17" s="33"/>
      <c r="M17" s="42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/>
      <c r="AM17" s="42"/>
      <c r="AN17" s="23"/>
      <c r="AO17" s="23"/>
      <c r="AP17" s="23"/>
      <c r="AQ17" s="23"/>
      <c r="AR17" s="23"/>
      <c r="AS17" s="23"/>
      <c r="AT17" s="36" t="s">
        <v>58</v>
      </c>
      <c r="AU17" s="491">
        <f>IF(H37=1,     CK47,        IF(H37=2,        CK47+CK100,        IF(H37=3,        CK47+CK100+CK156,                   CK47+CK100+CK156+CK196)))</f>
        <v>200.19703703703703</v>
      </c>
      <c r="AV17" s="491"/>
      <c r="AW17" s="491"/>
      <c r="AX17" s="37" t="str">
        <f>IF($H$15="Imperial","Cubic Feet", "Cubic Meters")</f>
        <v>Cubic Feet</v>
      </c>
      <c r="AY17" s="23"/>
      <c r="AZ17" s="23"/>
      <c r="BA17" s="33"/>
      <c r="BC17" s="592"/>
      <c r="BD17" s="453"/>
      <c r="BE17" s="453"/>
      <c r="BF17" s="453"/>
      <c r="BG17" s="453"/>
      <c r="BH17" s="453"/>
      <c r="BI17" s="453"/>
      <c r="BJ17" s="453"/>
      <c r="BK17" s="453"/>
      <c r="BL17" s="453"/>
      <c r="BM17" s="453"/>
      <c r="BN17" s="453"/>
      <c r="BO17" s="453"/>
      <c r="BP17" s="595"/>
      <c r="BQ17" s="453"/>
      <c r="BR17" s="459"/>
      <c r="BU17" s="18"/>
      <c r="BV17" s="501" t="s">
        <v>59</v>
      </c>
      <c r="BW17" s="508" t="s">
        <v>16</v>
      </c>
      <c r="BX17" s="508"/>
      <c r="BY17" s="508"/>
      <c r="BZ17" s="510" t="s">
        <v>60</v>
      </c>
      <c r="CA17" s="510"/>
      <c r="CB17" s="510"/>
      <c r="CC17" s="510"/>
      <c r="CD17" s="439" t="s">
        <v>18</v>
      </c>
      <c r="CE17" s="439"/>
      <c r="CF17" s="439"/>
      <c r="CG17" s="114" t="s">
        <v>19</v>
      </c>
      <c r="CH17" s="106"/>
      <c r="CI17" s="18"/>
      <c r="CJ17" s="501"/>
      <c r="CK17" s="139">
        <f>IF(CS65&lt;=2,     0,      IF(CS57=1,        CS34,          IF(CS59=0,              2*CS34,           IF(CS59=1,       IF(CS63&lt;=2,            CS34,                 CS34+CP54),            2*CS34))))</f>
        <v>0</v>
      </c>
      <c r="CL17" s="139">
        <f>CK17*CD67</f>
        <v>0</v>
      </c>
      <c r="CM17" s="140">
        <f>CK17*CC67</f>
        <v>0</v>
      </c>
      <c r="CN17" s="140">
        <f>IF(CN33=1,   IF(H15="Imperial",   (CL17+CM17)+(CK17*(((CD61*(H55-(H45/2))*CD65)/1728)*(H33/100))),   (CL17+CM17)+(CK17*(((CD61*(H55-(H45/2))*CD65)/1000000000)*(H33/100)))),   CL17+CM17)</f>
        <v>0</v>
      </c>
      <c r="CP17" s="494"/>
      <c r="CQ17" s="494"/>
      <c r="CR17" s="494"/>
      <c r="CS17" s="494"/>
      <c r="CT17" s="494"/>
      <c r="CU17" s="494"/>
      <c r="CV17" s="493"/>
      <c r="CW17" s="493"/>
      <c r="CX17" s="493"/>
      <c r="CY17" s="497"/>
      <c r="CZ17" s="497"/>
      <c r="DA17" s="6"/>
      <c r="DB17" s="6"/>
      <c r="DE17" s="7"/>
      <c r="DF17" s="7"/>
      <c r="DG17" s="7"/>
      <c r="DH17" s="7"/>
      <c r="DI17" s="7"/>
      <c r="DJ17" s="308"/>
      <c r="DK17" s="308"/>
      <c r="DL17" s="308"/>
      <c r="DM17" s="18"/>
      <c r="DN17" s="18"/>
    </row>
    <row r="18" spans="2:118" ht="3.75" customHeight="1" x14ac:dyDescent="0.25">
      <c r="B18" s="306"/>
      <c r="C18" s="307"/>
      <c r="D18" s="307"/>
      <c r="E18" s="307"/>
      <c r="F18" s="307"/>
      <c r="G18" s="23"/>
      <c r="H18" s="238"/>
      <c r="I18" s="238"/>
      <c r="J18" s="23"/>
      <c r="K18" s="41"/>
      <c r="L18" s="33"/>
      <c r="M18" s="42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33"/>
      <c r="AM18" s="42"/>
      <c r="AN18" s="23"/>
      <c r="AO18" s="23"/>
      <c r="AP18" s="23"/>
      <c r="AQ18" s="23"/>
      <c r="AR18" s="23"/>
      <c r="AS18" s="23"/>
      <c r="AT18" s="23"/>
      <c r="AU18" s="198"/>
      <c r="AV18" s="198"/>
      <c r="AW18" s="198"/>
      <c r="AX18" s="23"/>
      <c r="AY18" s="23"/>
      <c r="AZ18" s="23"/>
      <c r="BA18" s="33"/>
      <c r="BC18" s="461"/>
      <c r="BD18" s="453"/>
      <c r="BE18" s="453"/>
      <c r="BF18" s="453"/>
      <c r="BG18" s="453"/>
      <c r="BH18" s="453"/>
      <c r="BI18" s="453"/>
      <c r="BJ18" s="453"/>
      <c r="BK18" s="453"/>
      <c r="BL18" s="453"/>
      <c r="BM18" s="453"/>
      <c r="BN18" s="453"/>
      <c r="BO18" s="453"/>
      <c r="BP18" s="453"/>
      <c r="BQ18" s="453"/>
      <c r="BR18" s="459"/>
      <c r="BU18" s="18"/>
      <c r="BV18" s="501"/>
      <c r="BW18" s="508"/>
      <c r="BX18" s="508"/>
      <c r="BY18" s="508"/>
      <c r="BZ18" s="123"/>
      <c r="CA18" s="123"/>
      <c r="CB18" s="123"/>
      <c r="CC18" s="123"/>
      <c r="CD18" s="124"/>
      <c r="CE18" s="124"/>
      <c r="CF18" s="124"/>
      <c r="CG18" s="114" t="s">
        <v>25</v>
      </c>
      <c r="CH18" s="95"/>
      <c r="CI18" s="18"/>
      <c r="CJ18" s="501" t="s">
        <v>61</v>
      </c>
      <c r="CK18" s="508" t="s">
        <v>43</v>
      </c>
      <c r="CL18" s="501" t="s">
        <v>44</v>
      </c>
      <c r="CM18" s="501" t="s">
        <v>45</v>
      </c>
      <c r="CN18" s="501" t="s">
        <v>46</v>
      </c>
      <c r="CP18" s="494"/>
      <c r="CQ18" s="494"/>
      <c r="CR18" s="494"/>
      <c r="CS18" s="494"/>
      <c r="CT18" s="494"/>
      <c r="CU18" s="494"/>
      <c r="CV18" s="493"/>
      <c r="CW18" s="493"/>
      <c r="CX18" s="493"/>
      <c r="CY18" s="497"/>
      <c r="CZ18" s="497"/>
      <c r="DA18" s="6"/>
      <c r="DB18" s="6"/>
      <c r="DC18" s="5"/>
      <c r="DD18" s="5"/>
      <c r="DE18" s="5"/>
      <c r="DF18" s="5"/>
      <c r="DG18" s="5"/>
      <c r="DH18" s="5"/>
      <c r="DI18" s="5"/>
      <c r="DJ18" s="6"/>
      <c r="DK18" s="6"/>
      <c r="DL18" s="6"/>
      <c r="DM18" s="18"/>
      <c r="DN18" s="18"/>
    </row>
    <row r="19" spans="2:118" ht="15" customHeight="1" x14ac:dyDescent="0.35">
      <c r="B19" s="306"/>
      <c r="C19" s="561" t="s">
        <v>62</v>
      </c>
      <c r="D19" s="561"/>
      <c r="E19" s="561"/>
      <c r="F19" s="561"/>
      <c r="G19" s="23"/>
      <c r="H19" s="547" t="s">
        <v>231</v>
      </c>
      <c r="I19" s="548"/>
      <c r="J19" s="549"/>
      <c r="K19" s="550"/>
      <c r="L19" s="33"/>
      <c r="M19" s="42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18"/>
      <c r="AH19" s="23"/>
      <c r="AI19" s="23"/>
      <c r="AJ19" s="23"/>
      <c r="AK19" s="33"/>
      <c r="AM19" s="34"/>
      <c r="AN19" s="23"/>
      <c r="AO19" s="35"/>
      <c r="AP19" s="35"/>
      <c r="AQ19" s="35"/>
      <c r="AR19" s="35"/>
      <c r="AS19" s="23"/>
      <c r="AT19" s="36" t="s">
        <v>64</v>
      </c>
      <c r="AU19" s="491">
        <f>IF(H37=1,     CN41,        IF(H37=2,        CN41+CN97,        IF(H37=3,        CN41+CN97+CN153,                   CN41+CN97+CN153+CN193)))</f>
        <v>386.29703703703706</v>
      </c>
      <c r="AV19" s="491"/>
      <c r="AW19" s="491"/>
      <c r="AX19" s="37" t="str">
        <f>IF($H$15="Imperial","Cubic Feet", "Cubic Meters")</f>
        <v>Cubic Feet</v>
      </c>
      <c r="AY19" s="38"/>
      <c r="AZ19" s="39"/>
      <c r="BA19" s="40"/>
      <c r="BC19" s="461"/>
      <c r="BD19" s="453"/>
      <c r="BE19" s="453"/>
      <c r="BF19" s="453"/>
      <c r="BG19" s="453"/>
      <c r="BH19" s="453"/>
      <c r="BI19" s="453"/>
      <c r="BJ19" s="453"/>
      <c r="BK19" s="453"/>
      <c r="BL19" s="453"/>
      <c r="BM19" s="453"/>
      <c r="BN19" s="453"/>
      <c r="BO19" s="453"/>
      <c r="BP19" s="453"/>
      <c r="BQ19" s="453"/>
      <c r="BR19" s="459"/>
      <c r="BU19" s="18"/>
      <c r="BV19" s="501"/>
      <c r="BW19" s="507" t="s">
        <v>65</v>
      </c>
      <c r="BX19" s="507"/>
      <c r="BY19" s="115">
        <f>IF(H15="Imperial",             (((((BY5+H55)*(BX77+H55+(H45/2))*BY75)/1728)-BY7)*(H33/100)),                    (((((BY5+H55)*(BX77+H55+(H45/2))*BY75)/1000000000)-BY7)*(H33/100)))</f>
        <v>-39.144000000000005</v>
      </c>
      <c r="BZ19" s="507" t="s">
        <v>65</v>
      </c>
      <c r="CA19" s="507"/>
      <c r="CB19" s="507"/>
      <c r="CC19" s="115">
        <f>2*BY19</f>
        <v>-78.288000000000011</v>
      </c>
      <c r="CD19" s="116" t="s">
        <v>65</v>
      </c>
      <c r="CE19" s="117"/>
      <c r="CF19" s="115">
        <f>2*CA81</f>
        <v>111.66</v>
      </c>
      <c r="CG19" s="114">
        <f>IF(H15="Imperial",           (((BZ75*(BZ77)*(BY5+H55))/1728)-BY7)*(H33/100),                    (((BZ75*(BZ77)*(BY5+H55))/1000000000)-BY7)*(H33/100))</f>
        <v>-39.144000000000005</v>
      </c>
      <c r="CH19" s="18"/>
      <c r="CI19" s="18"/>
      <c r="CJ19" s="501"/>
      <c r="CK19" s="508"/>
      <c r="CL19" s="501"/>
      <c r="CM19" s="501"/>
      <c r="CN19" s="501"/>
      <c r="CP19" s="494"/>
      <c r="CQ19" s="494"/>
      <c r="CR19" s="494"/>
      <c r="CS19" s="494"/>
      <c r="CT19" s="494"/>
      <c r="CU19" s="494"/>
      <c r="CV19" s="493"/>
      <c r="CW19" s="493"/>
      <c r="CX19" s="493"/>
      <c r="CY19" s="497"/>
      <c r="CZ19" s="497"/>
      <c r="DA19" s="6"/>
      <c r="DB19" s="6"/>
      <c r="DC19" s="5"/>
      <c r="DD19" s="5"/>
      <c r="DE19" s="5"/>
      <c r="DF19" s="5"/>
      <c r="DG19" s="5"/>
      <c r="DH19" s="5"/>
      <c r="DI19" s="5"/>
      <c r="DJ19" s="6"/>
      <c r="DK19" s="6"/>
      <c r="DL19" s="6"/>
      <c r="DM19" s="18"/>
      <c r="DN19" s="18"/>
    </row>
    <row r="20" spans="2:118" ht="3.75" customHeight="1" x14ac:dyDescent="0.25">
      <c r="B20" s="306"/>
      <c r="C20" s="309"/>
      <c r="D20" s="309"/>
      <c r="E20" s="309"/>
      <c r="F20" s="309"/>
      <c r="G20" s="23"/>
      <c r="H20" s="238"/>
      <c r="I20" s="238"/>
      <c r="J20" s="23"/>
      <c r="K20" s="41"/>
      <c r="L20" s="33"/>
      <c r="M20" s="42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44"/>
      <c r="AH20" s="44"/>
      <c r="AI20" s="44"/>
      <c r="AJ20" s="23"/>
      <c r="AK20" s="33"/>
      <c r="AM20" s="42"/>
      <c r="AN20" s="23"/>
      <c r="AO20" s="23"/>
      <c r="AP20" s="23"/>
      <c r="AQ20" s="23"/>
      <c r="AR20" s="23"/>
      <c r="AS20" s="23"/>
      <c r="AT20" s="23"/>
      <c r="AU20" s="260"/>
      <c r="AV20" s="260"/>
      <c r="AW20" s="260"/>
      <c r="AX20" s="23"/>
      <c r="AY20" s="23"/>
      <c r="AZ20" s="23"/>
      <c r="BA20" s="33"/>
      <c r="BC20" s="461"/>
      <c r="BD20" s="453"/>
      <c r="BE20" s="453"/>
      <c r="BF20" s="453"/>
      <c r="BG20" s="453"/>
      <c r="BH20" s="453"/>
      <c r="BI20" s="453"/>
      <c r="BJ20" s="453"/>
      <c r="BK20" s="453"/>
      <c r="BL20" s="453"/>
      <c r="BM20" s="453"/>
      <c r="BN20" s="453"/>
      <c r="BO20" s="453"/>
      <c r="BP20" s="453"/>
      <c r="BQ20" s="453"/>
      <c r="BR20" s="459"/>
      <c r="BU20" s="18"/>
      <c r="BV20" s="501"/>
      <c r="BW20" s="118"/>
      <c r="BX20" s="117"/>
      <c r="BY20" s="115"/>
      <c r="BZ20" s="274"/>
      <c r="CA20" s="119"/>
      <c r="CB20" s="120"/>
      <c r="CC20" s="115"/>
      <c r="CD20" s="118"/>
      <c r="CE20" s="117"/>
      <c r="CF20" s="115"/>
      <c r="CG20" s="114"/>
      <c r="CH20" s="18"/>
      <c r="CI20" s="18"/>
      <c r="CJ20" s="501"/>
      <c r="CK20" s="508"/>
      <c r="CL20" s="501"/>
      <c r="CM20" s="501"/>
      <c r="CN20" s="501"/>
      <c r="CO20" s="297"/>
      <c r="CP20" s="495">
        <f>IF(CR2=1,        0,        IF(H15="Imperial",          IF(CW12=1,         (BY7+BY9)+(((H55*BY61*BY63)/1728)*(H33/100)),          2*(BY7+BY9)),                                                                                                                                                                                                                              IF(CW12=1,                         (BY7+BY9)+(((H55*BY61*BY63)/1000000000)*(H33/100)),          2*(BY7+BY9))))</f>
        <v>387.39033333333339</v>
      </c>
      <c r="CQ20" s="495">
        <f>IF(CR2=1,     0,      IF(CU12=0,       0,         CU12*CF67))</f>
        <v>768.46759259259272</v>
      </c>
      <c r="CR20" s="495"/>
      <c r="CS20" s="495">
        <f>IF(CR2=1,        0,                  IF(CW12=1,                         IF(CP12&lt;=BY13,     1,              2),                            IF(CW12=2,              IF(CP12&lt;=CF13,         1,              2),                                                                                                                                            IF(H15="Imperial",           IF(CP12&lt;= ((2*(CA67+(((BY61*(H55-(H45/2))*(BX65+H55))/1728)*(H33/100))))+(CU12*(CF67+(((CD61*(H55-(H45/2))*CC65)/1728)*(H33/100))))),          1,       2),                                                           IF(CP12&lt;= ((2*(CA67+(((BY61*(H55-(H45/2))*(BX65+H55))/1000000000)*(H33/100))))+(CU12*(CF67+(((CD61*(H55-(H45/2))*CC65)/1000000000)*(H33/100))))),          1,       2)))))</f>
        <v>1</v>
      </c>
      <c r="CT20" s="495">
        <f>IF(CR2=1,                  0,                 IF(CP12&lt;=(2*(CP20+CQ20)),                      CS20,                                                                                                                                                                                                                                       IF(CW12=1,           (ROUNDUP((CP12-(2*(CP20+CQ20)))/(CG15),0))+2,                            IF(CW12=2,                   (ROUNDUP((CP12-(2*(CP20+CQ20)))/(2*CB67),0))+2,                                                                                                        (ROUNDUP((CP12-(2*(CP20+CQ20)))/((CU12*CG67)+(2*CB67)),0))+2))))</f>
        <v>1</v>
      </c>
      <c r="CU20" s="495"/>
      <c r="CV20" s="493"/>
      <c r="CW20" s="493"/>
      <c r="CX20" s="493"/>
      <c r="CY20" s="497"/>
      <c r="CZ20" s="497"/>
      <c r="DA20" s="6"/>
      <c r="DB20" s="7"/>
      <c r="DC20" s="7"/>
      <c r="DD20" s="7"/>
      <c r="DE20" s="7"/>
      <c r="DF20" s="7"/>
      <c r="DG20" s="7"/>
      <c r="DH20" s="7"/>
      <c r="DI20" s="7"/>
      <c r="DJ20" s="6"/>
      <c r="DK20" s="6"/>
      <c r="DL20" s="6"/>
      <c r="DM20" s="18"/>
      <c r="DN20" s="18"/>
    </row>
    <row r="21" spans="2:118" ht="18" customHeight="1" x14ac:dyDescent="0.25">
      <c r="B21" s="306"/>
      <c r="C21" s="309"/>
      <c r="D21" s="309"/>
      <c r="E21" s="309"/>
      <c r="F21" s="309"/>
      <c r="G21" s="23"/>
      <c r="H21" s="238"/>
      <c r="I21" s="238"/>
      <c r="J21" s="23"/>
      <c r="K21" s="41"/>
      <c r="L21" s="33"/>
      <c r="M21" s="42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44"/>
      <c r="AH21" s="44"/>
      <c r="AI21" s="44"/>
      <c r="AJ21" s="23"/>
      <c r="AK21" s="33"/>
      <c r="AM21" s="42"/>
      <c r="AN21" s="23"/>
      <c r="AO21" s="35"/>
      <c r="AP21" s="35"/>
      <c r="AQ21" s="35"/>
      <c r="AR21" s="35"/>
      <c r="AS21" s="23"/>
      <c r="AT21" s="36" t="s">
        <v>66</v>
      </c>
      <c r="AU21" s="491">
        <f>CC67</f>
        <v>88</v>
      </c>
      <c r="AV21" s="491"/>
      <c r="AW21" s="491"/>
      <c r="AX21" s="37" t="str">
        <f>IF($H$15="Imperial","Cubic Feet", "Cubic Meters")</f>
        <v>Cubic Feet</v>
      </c>
      <c r="AY21" s="23"/>
      <c r="AZ21" s="37"/>
      <c r="BA21" s="33"/>
      <c r="BC21" s="461"/>
      <c r="BD21" s="453"/>
      <c r="BE21" s="453"/>
      <c r="BF21" s="453"/>
      <c r="BG21" s="453"/>
      <c r="BH21" s="453"/>
      <c r="BI21" s="453"/>
      <c r="BJ21" s="453"/>
      <c r="BK21" s="453"/>
      <c r="BL21" s="453"/>
      <c r="BM21" s="453"/>
      <c r="BN21" s="453"/>
      <c r="BO21" s="453"/>
      <c r="BP21" s="453"/>
      <c r="BQ21" s="453"/>
      <c r="BR21" s="459"/>
      <c r="BU21" s="18"/>
      <c r="BV21" s="501"/>
      <c r="BW21" s="118" t="s">
        <v>47</v>
      </c>
      <c r="BX21" s="117"/>
      <c r="BY21" s="115">
        <f>IF(H15="Imperial",                         (((BY77*H55*BY75)/1728)*(H33/100))+((((H55-(H45/2))*(BY5+H55+H55)*BY75)/1728)*(H33/100)),                                                                                                                                                               (((BY77*H55*BY75)/1000000000)*(H33/100))+((((H55-(H45/2))*(BY5+H55+H55)*BY75)/1000000000)*(H33/100)))</f>
        <v>0</v>
      </c>
      <c r="BZ21" s="505" t="s">
        <v>47</v>
      </c>
      <c r="CA21" s="505"/>
      <c r="CB21" s="505"/>
      <c r="CC21" s="115">
        <f>IF(H15="Imperial",        2*(((BY75*BY77*H55)/1728)*(H33/100)),                     2*(((BY75*BY77*H55)/1000000000)*(H33/100)))</f>
        <v>0</v>
      </c>
      <c r="CD21" s="118" t="s">
        <v>47</v>
      </c>
      <c r="CE21" s="117"/>
      <c r="CF21" s="115">
        <f>IF(H15="Imperial",                  2*(((BY75*(H55-(H45/2))*(BX79+H55))/1728)*(H33/100)),                      2*(((BY75*(H55-(H45/2))*(BX79+H55))/1000000000)*(H33/100)))</f>
        <v>0</v>
      </c>
      <c r="CG21" s="114" t="s">
        <v>41</v>
      </c>
      <c r="CH21" s="18"/>
      <c r="CI21" s="18"/>
      <c r="CJ21" s="501"/>
      <c r="CK21" s="139">
        <f>IF(CS28=0,           0,          IF(CS65=1,            CS28,        IF(CS65=2,        IF(CS59=0,    2*CS28,          IF(CS59&lt;=2,          CS28,                CS28+CQ60)),          2*CS28)))</f>
        <v>0</v>
      </c>
      <c r="CL21" s="139">
        <f>IF(CN35=1,        CK21*(CG7+CG11),         IF(CN35=2,            IF(CN39="no",         CK21*BZ67,       IF(CS59&lt;=2,      CK21*(CG7+CG11),       ((CK21-CS61)*BZ67)+(CS61*(CG7+CG11)))),           CK21*BZ67))</f>
        <v>0</v>
      </c>
      <c r="CM21" s="140">
        <f>IF(CN35=1,         CK21*BY7,         IF(CN35=2,            IF(CN39="no",            CK21*BX67,            IF(CS59&lt;=2,         CK21*BY7,            ((CK21-CS61)*BX67)+(CS61*BY7))),                 CK21*BX67))</f>
        <v>0</v>
      </c>
      <c r="CN21" s="140">
        <f>CL21+CM21</f>
        <v>0</v>
      </c>
      <c r="CP21" s="495"/>
      <c r="CQ21" s="495"/>
      <c r="CR21" s="495"/>
      <c r="CS21" s="495"/>
      <c r="CT21" s="495"/>
      <c r="CU21" s="495"/>
      <c r="CV21" s="493"/>
      <c r="CW21" s="493"/>
      <c r="CX21" s="493"/>
      <c r="CY21" s="497"/>
      <c r="CZ21" s="497"/>
      <c r="DA21" s="7"/>
      <c r="DB21" s="7"/>
      <c r="DC21" s="7"/>
      <c r="DD21" s="7"/>
      <c r="DE21" s="7"/>
      <c r="DF21" s="7"/>
      <c r="DG21" s="7"/>
      <c r="DH21" s="7"/>
      <c r="DI21" s="7"/>
      <c r="DJ21" s="6"/>
      <c r="DK21" s="6"/>
      <c r="DL21" s="6"/>
      <c r="DM21" s="18"/>
      <c r="DN21" s="18"/>
    </row>
    <row r="22" spans="2:118" ht="15.75" x14ac:dyDescent="0.25">
      <c r="B22" s="306"/>
      <c r="C22" s="309"/>
      <c r="D22" s="309"/>
      <c r="E22" s="309"/>
      <c r="F22" s="309"/>
      <c r="G22" s="23"/>
      <c r="H22" s="238"/>
      <c r="I22" s="238"/>
      <c r="J22" s="23"/>
      <c r="K22" s="41"/>
      <c r="L22" s="33"/>
      <c r="M22" s="42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609" t="str">
        <f>AX81</f>
        <v>ft</v>
      </c>
      <c r="AH22" s="44"/>
      <c r="AI22" s="23"/>
      <c r="AJ22" s="23"/>
      <c r="AK22" s="33"/>
      <c r="AM22" s="42"/>
      <c r="AN22" s="23"/>
      <c r="AO22" s="23"/>
      <c r="AP22" s="23"/>
      <c r="AQ22" s="23"/>
      <c r="AR22" s="36"/>
      <c r="AS22" s="23"/>
      <c r="AT22" s="178"/>
      <c r="AU22" s="260"/>
      <c r="AV22" s="260"/>
      <c r="AW22" s="260"/>
      <c r="AX22" s="259"/>
      <c r="AY22" s="41"/>
      <c r="AZ22" s="41"/>
      <c r="BA22" s="33"/>
      <c r="BC22" s="461"/>
      <c r="BD22" s="453"/>
      <c r="BE22" s="453"/>
      <c r="BF22" s="453"/>
      <c r="BG22" s="453"/>
      <c r="BH22" s="453"/>
      <c r="BI22" s="453"/>
      <c r="BJ22" s="453"/>
      <c r="BK22" s="453"/>
      <c r="BL22" s="453"/>
      <c r="BM22" s="453"/>
      <c r="BN22" s="453"/>
      <c r="BO22" s="453"/>
      <c r="BP22" s="453"/>
      <c r="BQ22" s="453"/>
      <c r="BR22" s="459"/>
      <c r="BU22" s="18"/>
      <c r="BV22" s="501"/>
      <c r="BW22" s="117"/>
      <c r="BX22" s="117"/>
      <c r="BY22" s="115"/>
      <c r="BZ22" s="117"/>
      <c r="CA22" s="288"/>
      <c r="CB22" s="117"/>
      <c r="CC22" s="115"/>
      <c r="CD22" s="117"/>
      <c r="CE22" s="117"/>
      <c r="CF22" s="115"/>
      <c r="CG22" s="121"/>
      <c r="CH22" s="18"/>
      <c r="CI22" s="18"/>
      <c r="CJ22" s="501" t="s">
        <v>67</v>
      </c>
      <c r="CK22" s="508" t="s">
        <v>43</v>
      </c>
      <c r="CL22" s="501" t="s">
        <v>44</v>
      </c>
      <c r="CM22" s="501" t="s">
        <v>45</v>
      </c>
      <c r="CN22" s="501" t="s">
        <v>46</v>
      </c>
      <c r="CP22" s="516" t="s">
        <v>68</v>
      </c>
      <c r="CQ22" s="516"/>
      <c r="CR22" s="516"/>
      <c r="CS22" s="516"/>
      <c r="CT22" s="516"/>
      <c r="CU22" s="516"/>
      <c r="CV22" s="516"/>
      <c r="CW22" s="516"/>
      <c r="CX22" s="493"/>
      <c r="CY22" s="497"/>
      <c r="CZ22" s="497"/>
      <c r="DA22" s="7"/>
      <c r="DB22" s="5"/>
      <c r="DC22" s="5"/>
      <c r="DD22" s="5"/>
      <c r="DE22" s="5"/>
      <c r="DF22" s="5"/>
      <c r="DG22" s="300"/>
      <c r="DH22" s="300"/>
      <c r="DI22" s="5"/>
      <c r="DJ22" s="5"/>
      <c r="DK22" s="5"/>
      <c r="DL22" s="5"/>
      <c r="DM22" s="18"/>
      <c r="DN22" s="18"/>
    </row>
    <row r="23" spans="2:118" ht="14.25" customHeight="1" x14ac:dyDescent="0.35">
      <c r="B23" s="310"/>
      <c r="C23" s="561" t="s">
        <v>69</v>
      </c>
      <c r="D23" s="561"/>
      <c r="E23" s="561"/>
      <c r="F23" s="561"/>
      <c r="G23" s="23"/>
      <c r="H23" s="547" t="s">
        <v>187</v>
      </c>
      <c r="I23" s="548"/>
      <c r="J23" s="549"/>
      <c r="K23" s="550"/>
      <c r="L23" s="33"/>
      <c r="M23" s="42"/>
      <c r="N23" s="23"/>
      <c r="O23" s="23"/>
      <c r="P23" s="219">
        <f>P61-P25</f>
        <v>10</v>
      </c>
      <c r="Q23" s="220" t="str">
        <f>K27</f>
        <v>in</v>
      </c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21">
        <f>AU81</f>
        <v>5.166666666666667</v>
      </c>
      <c r="AG23" s="609"/>
      <c r="AH23" s="44"/>
      <c r="AI23" s="222">
        <f>AU82</f>
        <v>6</v>
      </c>
      <c r="AJ23" s="218" t="str">
        <f>AX82</f>
        <v>ft</v>
      </c>
      <c r="AK23" s="33"/>
      <c r="AM23" s="42"/>
      <c r="AN23" s="23"/>
      <c r="AO23" s="23"/>
      <c r="AP23" s="23"/>
      <c r="AQ23" s="23"/>
      <c r="AR23" s="36"/>
      <c r="AS23" s="23"/>
      <c r="AT23" s="36" t="s">
        <v>71</v>
      </c>
      <c r="AU23" s="491">
        <f>CG67</f>
        <v>144.13518518518518</v>
      </c>
      <c r="AV23" s="491"/>
      <c r="AW23" s="491"/>
      <c r="AX23" s="37" t="str">
        <f>IF($H$15="Imperial","Cubic Feet", "Cubic Meters")</f>
        <v>Cubic Feet</v>
      </c>
      <c r="AY23" s="41"/>
      <c r="AZ23" s="41"/>
      <c r="BA23" s="33"/>
      <c r="BC23" s="461"/>
      <c r="BD23" s="453"/>
      <c r="BE23" s="453"/>
      <c r="BF23" s="453"/>
      <c r="BG23" s="453"/>
      <c r="BH23" s="453"/>
      <c r="BI23" s="453"/>
      <c r="BJ23" s="453"/>
      <c r="BK23" s="453"/>
      <c r="BL23" s="453"/>
      <c r="BM23" s="453"/>
      <c r="BN23" s="453"/>
      <c r="BO23" s="453"/>
      <c r="BP23" s="453"/>
      <c r="BQ23" s="453"/>
      <c r="BR23" s="459"/>
      <c r="BU23" s="18"/>
      <c r="BV23" s="501"/>
      <c r="BW23" s="506" t="s">
        <v>50</v>
      </c>
      <c r="BX23" s="506"/>
      <c r="BY23" s="122">
        <f>BY19+BY21+BY7</f>
        <v>58.715999999999994</v>
      </c>
      <c r="BZ23" s="506" t="s">
        <v>50</v>
      </c>
      <c r="CA23" s="506"/>
      <c r="CB23" s="506"/>
      <c r="CC23" s="122">
        <f>CC19+CC21+CC7</f>
        <v>19.571999999999989</v>
      </c>
      <c r="CD23" s="506" t="s">
        <v>50</v>
      </c>
      <c r="CE23" s="506"/>
      <c r="CF23" s="122">
        <f>CF19+CF21</f>
        <v>111.66</v>
      </c>
      <c r="CG23" s="114">
        <f>IF(H15="Imperial",                (((BZ75*(BZ77)*H55)/1728)*(H33/100)),                     (((BZ75*(BZ77)*H55)/1000000000)*(H33/100)))</f>
        <v>0</v>
      </c>
      <c r="CH23" s="95"/>
      <c r="CI23" s="18"/>
      <c r="CJ23" s="501"/>
      <c r="CK23" s="508"/>
      <c r="CL23" s="501"/>
      <c r="CM23" s="501"/>
      <c r="CN23" s="501"/>
      <c r="CP23" s="516"/>
      <c r="CQ23" s="516"/>
      <c r="CR23" s="516"/>
      <c r="CS23" s="516"/>
      <c r="CT23" s="516"/>
      <c r="CU23" s="516"/>
      <c r="CV23" s="516"/>
      <c r="CW23" s="516"/>
      <c r="CX23" s="493"/>
      <c r="CY23" s="497"/>
      <c r="CZ23" s="497"/>
      <c r="DA23" s="5"/>
      <c r="DB23" s="5"/>
      <c r="DC23" s="5"/>
      <c r="DD23" s="5"/>
      <c r="DE23" s="5"/>
      <c r="DF23" s="5"/>
      <c r="DG23" s="300"/>
      <c r="DH23" s="300"/>
      <c r="DI23" s="5"/>
      <c r="DJ23" s="5"/>
      <c r="DK23" s="5"/>
      <c r="DL23" s="5"/>
      <c r="DM23" s="18"/>
      <c r="DN23" s="18"/>
    </row>
    <row r="24" spans="2:118" ht="3.75" customHeight="1" x14ac:dyDescent="0.25">
      <c r="B24" s="310"/>
      <c r="C24" s="307"/>
      <c r="D24" s="307"/>
      <c r="E24" s="307"/>
      <c r="F24" s="307"/>
      <c r="G24" s="23"/>
      <c r="H24" s="238"/>
      <c r="I24" s="238"/>
      <c r="J24" s="23"/>
      <c r="K24" s="41"/>
      <c r="L24" s="33"/>
      <c r="M24" s="42"/>
      <c r="N24" s="23"/>
      <c r="O24" s="23"/>
      <c r="P24" s="220"/>
      <c r="Q24" s="220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18"/>
      <c r="AG24" s="218"/>
      <c r="AH24" s="44"/>
      <c r="AI24" s="23"/>
      <c r="AJ24" s="23"/>
      <c r="AK24" s="33"/>
      <c r="AM24" s="42"/>
      <c r="AN24" s="23"/>
      <c r="AO24" s="23"/>
      <c r="AP24" s="23"/>
      <c r="AQ24" s="23"/>
      <c r="AR24" s="36"/>
      <c r="AS24" s="23"/>
      <c r="AT24" s="178"/>
      <c r="AU24" s="260"/>
      <c r="AV24" s="260"/>
      <c r="AW24" s="260"/>
      <c r="AX24" s="259"/>
      <c r="AY24" s="41"/>
      <c r="AZ24" s="41"/>
      <c r="BA24" s="33"/>
      <c r="BC24" s="461"/>
      <c r="BD24" s="453"/>
      <c r="BE24" s="453"/>
      <c r="BF24" s="453"/>
      <c r="BG24" s="453"/>
      <c r="BH24" s="453"/>
      <c r="BI24" s="453"/>
      <c r="BJ24" s="453"/>
      <c r="BK24" s="453"/>
      <c r="BL24" s="453"/>
      <c r="BM24" s="453"/>
      <c r="BN24" s="453"/>
      <c r="BO24" s="453"/>
      <c r="BP24" s="453"/>
      <c r="BQ24" s="453"/>
      <c r="BR24" s="459"/>
      <c r="BU24" s="18"/>
      <c r="BV24" s="123"/>
      <c r="BW24" s="123"/>
      <c r="BX24" s="123"/>
      <c r="BY24" s="123"/>
      <c r="BZ24" s="123"/>
      <c r="CA24" s="123"/>
      <c r="CB24" s="123"/>
      <c r="CC24" s="123"/>
      <c r="CD24" s="124"/>
      <c r="CE24" s="124"/>
      <c r="CF24" s="124"/>
      <c r="CG24" s="114"/>
      <c r="CH24" s="18"/>
      <c r="CI24" s="18"/>
      <c r="CJ24" s="501"/>
      <c r="CK24" s="508"/>
      <c r="CL24" s="501"/>
      <c r="CM24" s="501"/>
      <c r="CN24" s="501"/>
      <c r="CP24" s="496" t="s">
        <v>72</v>
      </c>
      <c r="CQ24" s="496" t="str">
        <f>IF(H37=1,          "Chosen Number of Rows",      "Default Number of Rows")</f>
        <v>Chosen Number of Rows</v>
      </c>
      <c r="CR24" s="496" t="s">
        <v>73</v>
      </c>
      <c r="CS24" s="498" t="s">
        <v>74</v>
      </c>
      <c r="CT24" s="498" t="s">
        <v>75</v>
      </c>
      <c r="CU24" s="498"/>
      <c r="CV24" s="498" t="s">
        <v>76</v>
      </c>
      <c r="CW24" s="493"/>
      <c r="CX24" s="493"/>
      <c r="CY24" s="497"/>
      <c r="CZ24" s="497"/>
      <c r="DA24" s="5"/>
      <c r="DB24" s="5"/>
      <c r="DC24" s="5"/>
      <c r="DD24" s="5"/>
      <c r="DE24" s="5"/>
      <c r="DF24" s="5"/>
      <c r="DG24" s="300"/>
      <c r="DH24" s="300"/>
      <c r="DI24" s="5"/>
      <c r="DJ24" s="5"/>
      <c r="DK24" s="5"/>
      <c r="DL24" s="5"/>
      <c r="DM24" s="18"/>
      <c r="DN24" s="18"/>
    </row>
    <row r="25" spans="2:118" ht="15.75" customHeight="1" x14ac:dyDescent="0.25">
      <c r="B25" s="573" t="str">
        <f>IF(H37&gt;1, "Design Constraint Dimension (applies to the bottom Layer)", "Design Constraint Dimension")</f>
        <v>Design Constraint Dimension</v>
      </c>
      <c r="C25" s="561"/>
      <c r="D25" s="561"/>
      <c r="E25" s="561"/>
      <c r="F25" s="561"/>
      <c r="G25" s="23"/>
      <c r="H25" s="547">
        <v>50</v>
      </c>
      <c r="I25" s="548"/>
      <c r="J25" s="23"/>
      <c r="K25" s="38" t="str">
        <f>IF($H$15="Imperial","ft","m")</f>
        <v>ft</v>
      </c>
      <c r="L25" s="33"/>
      <c r="M25" s="42"/>
      <c r="N25" s="23"/>
      <c r="O25" s="23"/>
      <c r="P25" s="604">
        <f>H27</f>
        <v>12</v>
      </c>
      <c r="Q25" s="220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605" t="str">
        <f>AT81</f>
        <v>System Depth</v>
      </c>
      <c r="AG25" s="605"/>
      <c r="AH25" s="605"/>
      <c r="AI25" s="23" t="str">
        <f>V82</f>
        <v>Trench Depth</v>
      </c>
      <c r="AJ25" s="23"/>
      <c r="AK25" s="33"/>
      <c r="AM25" s="42"/>
      <c r="AN25" s="23"/>
      <c r="AO25" s="43"/>
      <c r="AP25" s="43"/>
      <c r="AQ25" s="43"/>
      <c r="AR25" s="43"/>
      <c r="AS25" s="44"/>
      <c r="AT25" s="45" t="s">
        <v>77</v>
      </c>
      <c r="AU25" s="565">
        <f>IF(H37=1,        CN51,          IF(H37=2,          CN51+CN102,         IF(H37=3,            CN51+CN102+CN158,               CN51+CN102+CN158+CN198)))</f>
        <v>2</v>
      </c>
      <c r="AV25" s="565"/>
      <c r="AW25" s="565"/>
      <c r="AX25" s="23"/>
      <c r="AY25" s="38"/>
      <c r="AZ25" s="37"/>
      <c r="BA25" s="33"/>
      <c r="BC25" s="461"/>
      <c r="BD25" s="596"/>
      <c r="BE25" s="453"/>
      <c r="BF25" s="453"/>
      <c r="BG25" s="453"/>
      <c r="BH25" s="453"/>
      <c r="BI25" s="453"/>
      <c r="BJ25" s="453"/>
      <c r="BK25" s="453"/>
      <c r="BL25" s="453"/>
      <c r="BM25" s="453"/>
      <c r="BN25" s="453"/>
      <c r="BO25" s="453"/>
      <c r="BP25" s="453"/>
      <c r="BQ25" s="453"/>
      <c r="BR25" s="459"/>
      <c r="BU25" s="18"/>
      <c r="BV25" s="496"/>
      <c r="BW25" s="496"/>
      <c r="BX25" s="496"/>
      <c r="BY25" s="496"/>
      <c r="BZ25" s="496"/>
      <c r="CA25" s="496"/>
      <c r="CB25" s="496"/>
      <c r="CC25" s="496"/>
      <c r="CD25" s="496"/>
      <c r="CE25" s="496"/>
      <c r="CF25" s="496"/>
      <c r="CG25" s="114" t="s">
        <v>50</v>
      </c>
      <c r="CH25" s="18"/>
      <c r="CI25" s="18"/>
      <c r="CJ25" s="501"/>
      <c r="CK25" s="140">
        <f>IF(CS28=0,    0,     IF(CS65&lt;=2,         0,            IF(CS59=0,               CS28*CS34,              IF(CS59&lt;=2,      CS28*CP54,          (CS28*CP54)+CQ60))))</f>
        <v>0</v>
      </c>
      <c r="CL25" s="140">
        <f>CK25*CE67</f>
        <v>0</v>
      </c>
      <c r="CM25" s="140">
        <f>CK25*CC67</f>
        <v>0</v>
      </c>
      <c r="CN25" s="140">
        <f>CK25*CG67</f>
        <v>0</v>
      </c>
      <c r="CP25" s="496"/>
      <c r="CQ25" s="496"/>
      <c r="CR25" s="496"/>
      <c r="CS25" s="498"/>
      <c r="CT25" s="498"/>
      <c r="CU25" s="498"/>
      <c r="CV25" s="498"/>
      <c r="CW25" s="493"/>
      <c r="CX25" s="493"/>
      <c r="CY25" s="497"/>
      <c r="CZ25" s="497"/>
      <c r="DA25" s="5"/>
      <c r="DB25" s="7"/>
      <c r="DC25" s="7"/>
      <c r="DD25" s="7"/>
      <c r="DE25" s="7"/>
      <c r="DF25" s="7"/>
      <c r="DG25" s="7"/>
      <c r="DH25" s="7"/>
      <c r="DM25" s="18"/>
      <c r="DN25" s="18"/>
    </row>
    <row r="26" spans="2:118" ht="11.25" customHeight="1" x14ac:dyDescent="0.25">
      <c r="B26" s="310"/>
      <c r="C26" s="307"/>
      <c r="D26" s="307"/>
      <c r="E26" s="307"/>
      <c r="F26" s="307"/>
      <c r="G26" s="23"/>
      <c r="H26" s="238"/>
      <c r="I26" s="238"/>
      <c r="J26" s="23"/>
      <c r="K26" s="41"/>
      <c r="L26" s="33"/>
      <c r="M26" s="42"/>
      <c r="N26" s="23"/>
      <c r="O26" s="23"/>
      <c r="P26" s="604"/>
      <c r="Q26" s="220" t="str">
        <f>K27</f>
        <v>in</v>
      </c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33"/>
      <c r="AM26" s="42"/>
      <c r="AN26" s="23"/>
      <c r="AO26" s="35"/>
      <c r="AP26" s="35"/>
      <c r="AQ26" s="35"/>
      <c r="AR26" s="35"/>
      <c r="AS26" s="23"/>
      <c r="AT26" s="36"/>
      <c r="AU26" s="177"/>
      <c r="AV26" s="177"/>
      <c r="AW26" s="177"/>
      <c r="AX26" s="37"/>
      <c r="AY26" s="37"/>
      <c r="AZ26" s="41"/>
      <c r="BA26" s="33"/>
      <c r="BC26" s="461"/>
      <c r="BD26" s="453"/>
      <c r="BE26" s="453"/>
      <c r="BF26" s="453"/>
      <c r="BG26" s="453"/>
      <c r="BH26" s="453"/>
      <c r="BI26" s="453"/>
      <c r="BJ26" s="453"/>
      <c r="BK26" s="453"/>
      <c r="BL26" s="453"/>
      <c r="BM26" s="453"/>
      <c r="BN26" s="453"/>
      <c r="BO26" s="453"/>
      <c r="BP26" s="453"/>
      <c r="BQ26" s="453"/>
      <c r="BR26" s="459"/>
      <c r="BU26" s="18"/>
      <c r="BV26" s="496"/>
      <c r="BW26" s="496"/>
      <c r="BX26" s="496"/>
      <c r="BY26" s="496"/>
      <c r="BZ26" s="496"/>
      <c r="CA26" s="496"/>
      <c r="CB26" s="496"/>
      <c r="CC26" s="496"/>
      <c r="CD26" s="496"/>
      <c r="CE26" s="496"/>
      <c r="CF26" s="496"/>
      <c r="CG26" s="114"/>
      <c r="CH26" s="18"/>
      <c r="CI26" s="18"/>
      <c r="CJ26" s="141"/>
      <c r="CK26" s="124"/>
      <c r="CL26" s="141"/>
      <c r="CM26" s="141"/>
      <c r="CN26" s="141"/>
      <c r="CP26" s="496"/>
      <c r="CQ26" s="496"/>
      <c r="CR26" s="496"/>
      <c r="CS26" s="498"/>
      <c r="CT26" s="498"/>
      <c r="CU26" s="498"/>
      <c r="CV26" s="498"/>
      <c r="CW26" s="493"/>
      <c r="CX26" s="496" t="s">
        <v>78</v>
      </c>
      <c r="CY26" s="496"/>
      <c r="CZ26" s="496"/>
      <c r="DA26" s="5"/>
      <c r="DB26" s="7"/>
      <c r="DC26" s="7"/>
      <c r="DD26" s="7"/>
      <c r="DE26" s="7"/>
      <c r="DF26" s="7"/>
      <c r="DG26" s="7"/>
      <c r="DH26" s="7"/>
      <c r="DM26" s="18"/>
      <c r="DN26" s="18"/>
    </row>
    <row r="27" spans="2:118" ht="15.75" customHeight="1" x14ac:dyDescent="0.25">
      <c r="B27" s="573" t="str">
        <f>IF($H$15="Imperial",                                      IF($H$19="SC-44","Stone Above Chambers (min. 12 inches; max. 96 inches)",                  "Stone Above Chambers (min. 6 inches; max. 192 inches)"),                            IF($H$19="SC-44",        "Stone Above Chambers (min. 305 mm; max. 2435 mm)",          "Stone Above Chambers (min. 152 mm; 4875 mm max.)"))</f>
        <v>Stone Above Chambers (min. 12 inches; max. 96 inches)</v>
      </c>
      <c r="C27" s="561"/>
      <c r="D27" s="561"/>
      <c r="E27" s="561"/>
      <c r="F27" s="561"/>
      <c r="G27" s="23"/>
      <c r="H27" s="547">
        <v>12</v>
      </c>
      <c r="I27" s="548"/>
      <c r="J27" s="23"/>
      <c r="K27" s="37" t="str">
        <f>IF($H$15="Imperial",           "in",          "mm")</f>
        <v>in</v>
      </c>
      <c r="L27" s="33"/>
      <c r="M27" s="42"/>
      <c r="N27" s="23"/>
      <c r="O27" s="23"/>
      <c r="P27" s="220"/>
      <c r="Q27" s="220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33"/>
      <c r="AM27" s="42"/>
      <c r="AN27" s="579" t="s">
        <v>79</v>
      </c>
      <c r="AO27" s="579"/>
      <c r="AP27" s="579"/>
      <c r="AQ27" s="579"/>
      <c r="AR27" s="579"/>
      <c r="AS27" s="579"/>
      <c r="AT27" s="579"/>
      <c r="AU27" s="579"/>
      <c r="AV27" s="579"/>
      <c r="AW27" s="579"/>
      <c r="AX27" s="579"/>
      <c r="AY27" s="579"/>
      <c r="AZ27" s="579"/>
      <c r="BA27" s="33"/>
      <c r="BC27" s="461"/>
      <c r="BD27" s="453"/>
      <c r="BE27" s="453"/>
      <c r="BF27" s="453"/>
      <c r="BG27" s="453"/>
      <c r="BH27" s="453"/>
      <c r="BI27" s="453"/>
      <c r="BJ27" s="453"/>
      <c r="BK27" s="453"/>
      <c r="BL27" s="453"/>
      <c r="BM27" s="453"/>
      <c r="BN27" s="453"/>
      <c r="BO27" s="453"/>
      <c r="BP27" s="453"/>
      <c r="BQ27" s="453"/>
      <c r="BR27" s="459"/>
      <c r="BU27" s="18"/>
      <c r="BV27" s="496"/>
      <c r="BW27" s="496"/>
      <c r="BX27" s="496"/>
      <c r="BY27" s="496"/>
      <c r="BZ27" s="496"/>
      <c r="CA27" s="496"/>
      <c r="CB27" s="496"/>
      <c r="CC27" s="496"/>
      <c r="CD27" s="496"/>
      <c r="CE27" s="496"/>
      <c r="CF27" s="496"/>
      <c r="CG27" s="114">
        <f>CG19+CG23+BY7</f>
        <v>58.715999999999994</v>
      </c>
      <c r="CH27" s="18"/>
      <c r="CI27" s="18"/>
      <c r="CJ27" s="142" t="s">
        <v>80</v>
      </c>
      <c r="CK27" s="142">
        <f>CK13+CK17+CK21+CK25</f>
        <v>2</v>
      </c>
      <c r="CL27" s="142">
        <f t="shared" ref="CL27:CN27" si="0">CL13+CL17+CL21+CL25</f>
        <v>200.19703703703703</v>
      </c>
      <c r="CM27" s="142">
        <f t="shared" si="0"/>
        <v>186.1</v>
      </c>
      <c r="CN27" s="142">
        <f t="shared" si="0"/>
        <v>386.29703703703706</v>
      </c>
      <c r="CP27" s="496"/>
      <c r="CQ27" s="496"/>
      <c r="CR27" s="496"/>
      <c r="CS27" s="498"/>
      <c r="CT27" s="498"/>
      <c r="CU27" s="498"/>
      <c r="CV27" s="498"/>
      <c r="CW27" s="493"/>
      <c r="CX27" s="496"/>
      <c r="CY27" s="496"/>
      <c r="CZ27" s="496"/>
      <c r="DA27" s="5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</row>
    <row r="28" spans="2:118" ht="4.5" customHeight="1" x14ac:dyDescent="0.25">
      <c r="B28" s="310"/>
      <c r="C28" s="307"/>
      <c r="D28" s="307"/>
      <c r="E28" s="307"/>
      <c r="F28" s="307"/>
      <c r="G28" s="23"/>
      <c r="H28" s="238"/>
      <c r="I28" s="238"/>
      <c r="J28" s="23"/>
      <c r="K28" s="41"/>
      <c r="L28" s="33"/>
      <c r="M28" s="42"/>
      <c r="N28" s="23"/>
      <c r="O28" s="23"/>
      <c r="P28" s="220"/>
      <c r="Q28" s="220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33"/>
      <c r="AM28" s="42"/>
      <c r="AN28" s="23"/>
      <c r="AO28" s="23"/>
      <c r="AP28" s="23"/>
      <c r="AQ28" s="23"/>
      <c r="AR28" s="23"/>
      <c r="AS28" s="23"/>
      <c r="AT28" s="23"/>
      <c r="AU28" s="23"/>
      <c r="AV28" s="23"/>
      <c r="AW28" s="23"/>
      <c r="AX28" s="23"/>
      <c r="AY28" s="23"/>
      <c r="AZ28" s="23"/>
      <c r="BA28" s="33"/>
      <c r="BC28" s="461"/>
      <c r="BD28" s="453"/>
      <c r="BE28" s="453"/>
      <c r="BF28" s="453"/>
      <c r="BG28" s="453"/>
      <c r="BH28" s="453"/>
      <c r="BI28" s="453"/>
      <c r="BJ28" s="453"/>
      <c r="BK28" s="453"/>
      <c r="BL28" s="453"/>
      <c r="BM28" s="453"/>
      <c r="BN28" s="453"/>
      <c r="BO28" s="453"/>
      <c r="BP28" s="453"/>
      <c r="BQ28" s="453"/>
      <c r="BR28" s="459"/>
      <c r="BU28" s="18"/>
      <c r="BV28" s="123"/>
      <c r="BW28" s="123"/>
      <c r="BX28" s="123"/>
      <c r="BY28" s="123"/>
      <c r="BZ28" s="123"/>
      <c r="CA28" s="123"/>
      <c r="CB28" s="123"/>
      <c r="CC28" s="123"/>
      <c r="CD28" s="124"/>
      <c r="CE28" s="124"/>
      <c r="CF28" s="124"/>
      <c r="CG28" s="288"/>
      <c r="CH28" s="95"/>
      <c r="CI28" s="18"/>
      <c r="CJ28" s="9"/>
      <c r="CK28" s="9"/>
      <c r="CL28" s="9"/>
      <c r="CM28" s="9"/>
      <c r="CN28" s="9"/>
      <c r="CP28" s="495">
        <f>IF($H$37=1,       $H$17,                 IF($H$37=2,      $H$17-CN97,               IF($H$37=3,       $H$17-CN97-CN153,       IF(H37=4,           H17-CN97-CN153-CN193,         0))))</f>
        <v>270</v>
      </c>
      <c r="CQ28" s="495">
        <f>CN33</f>
        <v>1</v>
      </c>
      <c r="CR28" s="495">
        <f>IF(CQ28=1,       1,        2)</f>
        <v>1</v>
      </c>
      <c r="CS28" s="493">
        <f>IF(CQ28&lt;3,      0,        CQ28-2)</f>
        <v>0</v>
      </c>
      <c r="CT28" s="493">
        <f>IF(CQ28=1,   IF(CP28&lt;=BY13,   BY13,     IF(H15="Imperial",       CA67+((((H55-(H45/2))*BY61*(BX65+H55))/1728)*(H33/100)),        CA67+((((H55-(H45/2))*BY61*(BX65+H55))/1000000000)*(H33/100)))),                                      IF(CP28&lt;=CC13,                CC13,               2*CA67))</f>
        <v>193.14851851851853</v>
      </c>
      <c r="CU28" s="493"/>
      <c r="CV28" s="493">
        <f>IF(CS28=0,            0,                CS28*CB67)</f>
        <v>0</v>
      </c>
      <c r="CW28" s="493"/>
      <c r="CX28" s="496" t="str">
        <f>IF(CR2=1,      "Maximum Number of Rows",                 "Minimum Number of Rows")</f>
        <v>Minimum Number of Rows</v>
      </c>
      <c r="CY28" s="496"/>
      <c r="CZ28" s="498" t="str">
        <f>IF(CR2=1,             "N/A",                "Maximum Number of Chambers per Full Row")</f>
        <v>Maximum Number of Chambers per Full Row</v>
      </c>
      <c r="DA28" s="5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</row>
    <row r="29" spans="2:118" ht="15.75" customHeight="1" x14ac:dyDescent="0.3">
      <c r="B29" s="310"/>
      <c r="C29" s="561" t="str">
        <f>IF($H$15="Imperial",           IF($H$19="SC-44",            "Stone Below Chambers (min. 9 inches)",           "Stone Below Chambers (min. 6 inches)"),                                                             IF($H$19="SC-44",             "Stone Below Chambers (min. 228 mm)","Stone Below Chambers (min. 152 mm)"))</f>
        <v>Stone Below Chambers (min. 9 inches)</v>
      </c>
      <c r="D29" s="561"/>
      <c r="E29" s="561"/>
      <c r="F29" s="561"/>
      <c r="G29" s="23"/>
      <c r="H29" s="547">
        <v>9</v>
      </c>
      <c r="I29" s="548"/>
      <c r="J29" s="23"/>
      <c r="K29" s="38" t="str">
        <f>IF($H$15="Imperial","in","mm")</f>
        <v>in</v>
      </c>
      <c r="L29" s="33"/>
      <c r="M29" s="42"/>
      <c r="N29" s="223"/>
      <c r="O29" s="218"/>
      <c r="P29" s="606" t="str">
        <f>H19</f>
        <v>SC-44</v>
      </c>
      <c r="Q29" s="606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33"/>
      <c r="AM29" s="42"/>
      <c r="AN29" s="566" t="str">
        <f>IF(H37=1,     "SYSTEM LAYOUT",     IF(H37=2,     "2nd LAYER (top)",      IF(H37=3,      "3rd LAYER (top)",     "4th LAYER (top)")))</f>
        <v>SYSTEM LAYOUT</v>
      </c>
      <c r="AO29" s="566"/>
      <c r="AP29" s="577" t="str">
        <f>IF(AT31=0,        "This system has too few chambers. We suggest using fewer layers",     "")</f>
        <v/>
      </c>
      <c r="AQ29" s="577"/>
      <c r="AR29" s="577"/>
      <c r="AS29" s="577"/>
      <c r="AT29" s="577"/>
      <c r="AU29" s="577"/>
      <c r="AV29" s="577"/>
      <c r="AW29" s="577"/>
      <c r="AX29" s="577"/>
      <c r="AY29" s="577"/>
      <c r="AZ29" s="577"/>
      <c r="BA29" s="578"/>
      <c r="BC29" s="461"/>
      <c r="BD29" s="453"/>
      <c r="BE29" s="453"/>
      <c r="BF29" s="453"/>
      <c r="BG29" s="453"/>
      <c r="BH29" s="453"/>
      <c r="BI29" s="453"/>
      <c r="BJ29" s="453"/>
      <c r="BK29" s="453"/>
      <c r="BL29" s="453"/>
      <c r="BM29" s="453"/>
      <c r="BN29" s="453"/>
      <c r="BO29" s="453"/>
      <c r="BP29" s="453"/>
      <c r="BQ29" s="453"/>
      <c r="BR29" s="459"/>
      <c r="BU29" s="18"/>
      <c r="BV29" s="501" t="s">
        <v>81</v>
      </c>
      <c r="BW29" s="508" t="s">
        <v>16</v>
      </c>
      <c r="BX29" s="508"/>
      <c r="BY29" s="508"/>
      <c r="BZ29" s="510" t="s">
        <v>60</v>
      </c>
      <c r="CA29" s="510"/>
      <c r="CB29" s="510"/>
      <c r="CC29" s="510"/>
      <c r="CD29" s="439" t="s">
        <v>18</v>
      </c>
      <c r="CE29" s="439"/>
      <c r="CF29" s="439"/>
      <c r="CG29" s="114" t="s">
        <v>19</v>
      </c>
      <c r="CH29" s="95"/>
      <c r="CI29" s="18"/>
      <c r="CJ29" s="9"/>
      <c r="CK29" s="9"/>
      <c r="CL29" s="9"/>
      <c r="CM29" s="9"/>
      <c r="CN29" s="9"/>
      <c r="CO29" s="291"/>
      <c r="CP29" s="495"/>
      <c r="CQ29" s="495"/>
      <c r="CR29" s="495"/>
      <c r="CS29" s="493"/>
      <c r="CT29" s="493"/>
      <c r="CU29" s="493"/>
      <c r="CV29" s="493"/>
      <c r="CW29" s="493"/>
      <c r="CX29" s="496"/>
      <c r="CY29" s="496"/>
      <c r="CZ29" s="498"/>
      <c r="DA29" s="5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</row>
    <row r="30" spans="2:118" ht="15.75" x14ac:dyDescent="0.25">
      <c r="B30" s="310"/>
      <c r="C30" s="307"/>
      <c r="D30" s="307"/>
      <c r="E30" s="307"/>
      <c r="F30" s="307"/>
      <c r="G30" s="23"/>
      <c r="H30" s="238"/>
      <c r="I30" s="238"/>
      <c r="J30" s="23"/>
      <c r="K30" s="41"/>
      <c r="L30" s="33"/>
      <c r="M30" s="42"/>
      <c r="N30" s="23"/>
      <c r="O30" s="607" t="s">
        <v>82</v>
      </c>
      <c r="P30" s="607"/>
      <c r="Q30" s="607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33"/>
      <c r="AM30" s="42"/>
      <c r="AN30" s="23"/>
      <c r="AO30" s="23"/>
      <c r="AP30" s="23"/>
      <c r="AQ30" s="23"/>
      <c r="AR30" s="23"/>
      <c r="AS30" s="23"/>
      <c r="AT30" s="23"/>
      <c r="AU30" s="23"/>
      <c r="AV30" s="23"/>
      <c r="AW30" s="46"/>
      <c r="AX30" s="47"/>
      <c r="AY30" s="47"/>
      <c r="AZ30" s="47"/>
      <c r="BA30" s="33"/>
      <c r="BC30" s="461"/>
      <c r="BD30" s="453"/>
      <c r="BE30" s="453"/>
      <c r="BF30" s="453"/>
      <c r="BG30" s="453"/>
      <c r="BH30" s="453"/>
      <c r="BI30" s="453"/>
      <c r="BJ30" s="453"/>
      <c r="BK30" s="453"/>
      <c r="BL30" s="453"/>
      <c r="BM30" s="453"/>
      <c r="BN30" s="453"/>
      <c r="BO30" s="453"/>
      <c r="BP30" s="453"/>
      <c r="BQ30" s="453"/>
      <c r="BR30" s="459"/>
      <c r="BU30" s="18"/>
      <c r="BV30" s="501"/>
      <c r="BW30" s="508"/>
      <c r="BX30" s="508"/>
      <c r="BY30" s="508"/>
      <c r="BZ30" s="123"/>
      <c r="CA30" s="123"/>
      <c r="CB30" s="123"/>
      <c r="CC30" s="123"/>
      <c r="CD30" s="124"/>
      <c r="CE30" s="124"/>
      <c r="CF30" s="124"/>
      <c r="CG30" s="288"/>
      <c r="CH30" s="95"/>
      <c r="CI30" s="18"/>
      <c r="CJ30" s="107"/>
      <c r="CK30" s="286"/>
      <c r="CL30" s="12"/>
      <c r="CM30" s="18"/>
      <c r="CN30" s="18"/>
      <c r="CP30" s="493" t="s">
        <v>83</v>
      </c>
      <c r="CQ30" s="493"/>
      <c r="CR30" s="498" t="s">
        <v>84</v>
      </c>
      <c r="CS30" s="498" t="s">
        <v>85</v>
      </c>
      <c r="CT30" s="498"/>
      <c r="CU30" s="496" t="s">
        <v>86</v>
      </c>
      <c r="CV30" s="511"/>
      <c r="CW30" s="493"/>
      <c r="CX30" s="496"/>
      <c r="CY30" s="496"/>
      <c r="CZ30" s="498"/>
      <c r="DA30" s="5"/>
      <c r="DB30" s="4"/>
      <c r="DC30" s="4"/>
      <c r="DD30" s="5"/>
      <c r="DE30" s="5"/>
      <c r="DF30" s="5"/>
      <c r="DG30" s="5"/>
      <c r="DH30" s="5"/>
      <c r="DI30" s="5"/>
      <c r="DJ30" s="5"/>
      <c r="DK30" s="5"/>
      <c r="DL30" s="5"/>
      <c r="DM30" s="9"/>
      <c r="DN30" s="9"/>
    </row>
    <row r="31" spans="2:118" ht="15.75" x14ac:dyDescent="0.25">
      <c r="B31" s="573" t="str">
        <f>IF($H$15="Imperial",             IF($H$19="SC-44",        "Total Cover Over Chambers (min. 22 inches; max. 96 inches)",        "Total Cover Over Chambers (min. 18 inches; max. 192 inches)"),                   IF($H$19="SC-44",       "Total Cover Over Chambers (min. 559 mm; max. 2435 mm)","Total Cover Over Chambers (min. 457 mm; max. 4875 mm)"))</f>
        <v>Total Cover Over Chambers (min. 22 inches; max. 96 inches)</v>
      </c>
      <c r="C31" s="561"/>
      <c r="D31" s="561"/>
      <c r="E31" s="561"/>
      <c r="F31" s="561"/>
      <c r="G31" s="23"/>
      <c r="H31" s="547">
        <v>22</v>
      </c>
      <c r="I31" s="548"/>
      <c r="J31" s="23"/>
      <c r="K31" s="37" t="str">
        <f>IF($H$15="Imperial",           "in",          "mm")</f>
        <v>in</v>
      </c>
      <c r="L31" s="33"/>
      <c r="M31" s="42"/>
      <c r="N31" s="218"/>
      <c r="O31" s="607"/>
      <c r="P31" s="607"/>
      <c r="Q31" s="607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24"/>
      <c r="AF31" s="23"/>
      <c r="AG31" s="23"/>
      <c r="AH31" s="23"/>
      <c r="AI31" s="23"/>
      <c r="AJ31" s="23"/>
      <c r="AK31" s="33"/>
      <c r="AM31" s="42"/>
      <c r="AN31" s="292" t="s">
        <v>87</v>
      </c>
      <c r="AO31" s="202">
        <f xml:space="preserve"> CN43</f>
        <v>15.333333333333334</v>
      </c>
      <c r="AP31" s="41" t="str">
        <f>IF(H$15="Imperial",    "ft",       "m")</f>
        <v>ft</v>
      </c>
      <c r="AQ31" s="484" t="s">
        <v>88</v>
      </c>
      <c r="AR31" s="484"/>
      <c r="AS31" s="41"/>
      <c r="AT31" s="195">
        <f>IF(CP12=0,      0,           IF(CN39="yes",          CS61,        CS57))</f>
        <v>1</v>
      </c>
      <c r="AU31" s="192" t="s">
        <v>89</v>
      </c>
      <c r="AV31" s="192"/>
      <c r="AW31" s="200">
        <f>IF(CP12=0,        0,         IF(CN39="yes",         CS63,       CS65))</f>
        <v>2</v>
      </c>
      <c r="AX31" s="23" t="s">
        <v>90</v>
      </c>
      <c r="AY31" s="23"/>
      <c r="AZ31" s="48"/>
      <c r="BA31" s="33"/>
      <c r="BC31" s="461"/>
      <c r="BD31" s="453"/>
      <c r="BE31" s="453"/>
      <c r="BF31" s="453"/>
      <c r="BG31" s="453"/>
      <c r="BH31" s="453"/>
      <c r="BI31" s="453"/>
      <c r="BJ31" s="453"/>
      <c r="BK31" s="453"/>
      <c r="BL31" s="453"/>
      <c r="BM31" s="453"/>
      <c r="BN31" s="453"/>
      <c r="BO31" s="453"/>
      <c r="BP31" s="453"/>
      <c r="BQ31" s="453"/>
      <c r="BR31" s="459"/>
      <c r="BU31" s="18"/>
      <c r="BV31" s="501"/>
      <c r="BW31" s="507" t="s">
        <v>65</v>
      </c>
      <c r="BX31" s="507"/>
      <c r="BY31" s="115">
        <f>IF(H15="Imperial",             (((((BY5+H55)*(BX91+H55+(H45/2))*BY89)/1728)-BY7)*(H33/100)),                    (((((BY5+H55)*(BX91+H55+(H45/2))*BY89)/1000000000)-BY7)*(H33/100)))</f>
        <v>-39.144000000000005</v>
      </c>
      <c r="BZ31" s="507" t="s">
        <v>65</v>
      </c>
      <c r="CA31" s="507"/>
      <c r="CB31" s="507"/>
      <c r="CC31" s="115">
        <f>2*BY31</f>
        <v>-78.288000000000011</v>
      </c>
      <c r="CD31" s="116" t="s">
        <v>65</v>
      </c>
      <c r="CE31" s="117"/>
      <c r="CF31" s="115">
        <f>2*CA93</f>
        <v>111.66</v>
      </c>
      <c r="CG31" s="114" t="s">
        <v>25</v>
      </c>
      <c r="CH31" s="95"/>
      <c r="CI31" s="18"/>
      <c r="CJ31" s="503" t="str">
        <f>IF($H$23=1,    "Max suggested number of rows",     "Min suggested number of rows")</f>
        <v>Min suggested number of rows</v>
      </c>
      <c r="CK31" s="503"/>
      <c r="CL31" s="503"/>
      <c r="CM31" s="503"/>
      <c r="CN31" s="263">
        <f>IF(CR2=1,      CW12,    CT20)</f>
        <v>1</v>
      </c>
      <c r="CP31" s="493"/>
      <c r="CQ31" s="493"/>
      <c r="CR31" s="498"/>
      <c r="CS31" s="498"/>
      <c r="CT31" s="498"/>
      <c r="CU31" s="511"/>
      <c r="CV31" s="511"/>
      <c r="CW31" s="493"/>
      <c r="CX31" s="496"/>
      <c r="CY31" s="496"/>
      <c r="CZ31" s="498"/>
      <c r="DA31" s="5"/>
      <c r="DB31" s="4"/>
      <c r="DC31" s="4"/>
      <c r="DD31" s="5"/>
      <c r="DE31" s="5"/>
      <c r="DF31" s="5"/>
      <c r="DG31" s="5"/>
      <c r="DH31" s="5"/>
      <c r="DI31" s="5"/>
      <c r="DJ31" s="5"/>
      <c r="DK31" s="5"/>
      <c r="DL31" s="5"/>
      <c r="DM31" s="9"/>
      <c r="DN31" s="9"/>
    </row>
    <row r="32" spans="2:118" ht="15.75" x14ac:dyDescent="0.25">
      <c r="B32" s="310"/>
      <c r="C32" s="307"/>
      <c r="D32" s="307"/>
      <c r="E32" s="307"/>
      <c r="F32" s="307"/>
      <c r="G32" s="23"/>
      <c r="H32" s="238"/>
      <c r="I32" s="238"/>
      <c r="J32" s="23"/>
      <c r="K32" s="38"/>
      <c r="L32" s="33"/>
      <c r="M32" s="42"/>
      <c r="N32" s="23"/>
      <c r="O32" s="23"/>
      <c r="P32" s="220"/>
      <c r="Q32" s="220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24"/>
      <c r="AF32" s="225"/>
      <c r="AG32" s="226"/>
      <c r="AH32" s="23"/>
      <c r="AI32" s="23"/>
      <c r="AJ32" s="23"/>
      <c r="AK32" s="33"/>
      <c r="AM32" s="42"/>
      <c r="AN32" s="23"/>
      <c r="AO32" s="192"/>
      <c r="AP32" s="41"/>
      <c r="AQ32" s="23"/>
      <c r="AR32" s="36"/>
      <c r="AS32" s="23"/>
      <c r="AT32" s="192"/>
      <c r="AU32" s="192"/>
      <c r="AV32" s="192"/>
      <c r="AW32" s="200"/>
      <c r="AX32" s="23"/>
      <c r="AY32" s="23"/>
      <c r="AZ32" s="48"/>
      <c r="BA32" s="33"/>
      <c r="BC32" s="461"/>
      <c r="BD32" s="453"/>
      <c r="BE32" s="453"/>
      <c r="BF32" s="453"/>
      <c r="BG32" s="453"/>
      <c r="BH32" s="453"/>
      <c r="BI32" s="453"/>
      <c r="BJ32" s="453"/>
      <c r="BK32" s="453"/>
      <c r="BL32" s="453"/>
      <c r="BM32" s="453"/>
      <c r="BN32" s="453"/>
      <c r="BO32" s="453"/>
      <c r="BP32" s="453"/>
      <c r="BQ32" s="453"/>
      <c r="BR32" s="459"/>
      <c r="BU32" s="18"/>
      <c r="BV32" s="501"/>
      <c r="BW32" s="118"/>
      <c r="BX32" s="117"/>
      <c r="BY32" s="115"/>
      <c r="BZ32" s="274"/>
      <c r="CA32" s="119"/>
      <c r="CB32" s="120"/>
      <c r="CC32" s="115"/>
      <c r="CD32" s="118"/>
      <c r="CE32" s="117"/>
      <c r="CF32" s="115"/>
      <c r="CG32" s="114"/>
      <c r="CH32" s="95"/>
      <c r="CI32" s="18"/>
      <c r="CJ32" s="143"/>
      <c r="CK32" s="143"/>
      <c r="CL32" s="143"/>
      <c r="CM32" s="143"/>
      <c r="CN32" s="288"/>
      <c r="CP32" s="493"/>
      <c r="CQ32" s="493"/>
      <c r="CR32" s="498"/>
      <c r="CS32" s="498"/>
      <c r="CT32" s="498"/>
      <c r="CU32" s="511"/>
      <c r="CV32" s="511"/>
      <c r="CW32" s="493"/>
      <c r="CX32" s="495">
        <f>IF(CR2=1,            IF(CX12&lt;CW12,           CX12,        CW12),        CT20)</f>
        <v>1</v>
      </c>
      <c r="CY32" s="495"/>
      <c r="CZ32" s="497">
        <f>IF(CR2=1,         0,                             CW12)</f>
        <v>7</v>
      </c>
      <c r="DA32" s="5"/>
      <c r="DB32" s="19"/>
      <c r="DC32" s="19"/>
      <c r="DD32" s="9"/>
      <c r="DE32" s="9"/>
      <c r="DF32" s="16"/>
      <c r="DG32" s="16"/>
      <c r="DH32" s="16"/>
      <c r="DI32" s="16"/>
      <c r="DJ32" s="16"/>
      <c r="DK32" s="16"/>
      <c r="DL32" s="16"/>
      <c r="DM32" s="9"/>
      <c r="DN32" s="9"/>
    </row>
    <row r="33" spans="2:118" ht="15.75" x14ac:dyDescent="0.25">
      <c r="B33" s="310"/>
      <c r="C33" s="561" t="s">
        <v>91</v>
      </c>
      <c r="D33" s="561"/>
      <c r="E33" s="561"/>
      <c r="F33" s="561"/>
      <c r="G33" s="23"/>
      <c r="H33" s="547">
        <v>40</v>
      </c>
      <c r="I33" s="548"/>
      <c r="J33" s="23"/>
      <c r="K33" s="37" t="s">
        <v>92</v>
      </c>
      <c r="L33" s="33"/>
      <c r="M33" s="42"/>
      <c r="N33" s="23"/>
      <c r="O33" s="23"/>
      <c r="P33" s="608">
        <f>H29</f>
        <v>9</v>
      </c>
      <c r="Q33" s="609" t="str">
        <f>K29</f>
        <v>in</v>
      </c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442">
        <f>AU79</f>
        <v>8.6666666666666661</v>
      </c>
      <c r="AF33" s="442"/>
      <c r="AG33" s="226" t="str">
        <f>AX79</f>
        <v>ft</v>
      </c>
      <c r="AH33" s="227"/>
      <c r="AI33" s="23"/>
      <c r="AJ33" s="23"/>
      <c r="AK33" s="33"/>
      <c r="AM33" s="42"/>
      <c r="AN33" s="49" t="s">
        <v>93</v>
      </c>
      <c r="AO33" s="193">
        <f>CN45</f>
        <v>8.6666666666666661</v>
      </c>
      <c r="AP33" s="38" t="str">
        <f>IF(H$15="Imperial",    "ft",       "m")</f>
        <v>ft</v>
      </c>
      <c r="AQ33" s="485" t="s">
        <v>88</v>
      </c>
      <c r="AR33" s="485"/>
      <c r="AS33" s="38"/>
      <c r="AT33" s="196">
        <f>IF(CN39="yes",      CS59,     0)</f>
        <v>0</v>
      </c>
      <c r="AU33" s="197" t="s">
        <v>89</v>
      </c>
      <c r="AV33" s="197"/>
      <c r="AW33" s="201">
        <f>IF(CN39="yes",         CS65,            0)</f>
        <v>0</v>
      </c>
      <c r="AX33" s="37" t="s">
        <v>90</v>
      </c>
      <c r="AY33" s="37"/>
      <c r="AZ33" s="283"/>
      <c r="BA33" s="33"/>
      <c r="BC33" s="461"/>
      <c r="BD33" s="453"/>
      <c r="BE33" s="453"/>
      <c r="BF33" s="453"/>
      <c r="BG33" s="453"/>
      <c r="BH33" s="453"/>
      <c r="BI33" s="453"/>
      <c r="BJ33" s="453"/>
      <c r="BK33" s="453"/>
      <c r="BL33" s="453"/>
      <c r="BM33" s="453"/>
      <c r="BN33" s="453"/>
      <c r="BO33" s="453"/>
      <c r="BP33" s="453"/>
      <c r="BQ33" s="453"/>
      <c r="BR33" s="459"/>
      <c r="BU33" s="18"/>
      <c r="BV33" s="501"/>
      <c r="BW33" s="118" t="s">
        <v>47</v>
      </c>
      <c r="BX33" s="117"/>
      <c r="BY33" s="115">
        <f>IF(H15="Imperial",                                     (((BY91*H55*BY89)/1728)*(H33/100))+((((H55-(H45/2))*(BY5+H55+H55)*BY89)/1728)*(H33/100)),                                                                                                                                            (((BY91*H55*BY89)/1000000000)*(H33/100))+((((H55-(H45/2))*(BY5+H55+H55)*BY89)/1000000000)*(H33/100)))</f>
        <v>0</v>
      </c>
      <c r="BZ33" s="505" t="s">
        <v>47</v>
      </c>
      <c r="CA33" s="505"/>
      <c r="CB33" s="505"/>
      <c r="CC33" s="115">
        <f>IF(H15="Imperial",                2*(((BY89*BY91*H55)/1728)*(H33/100)),                            2*(((BY89*BY91*H55)/1000000000)*(H33/100)))</f>
        <v>0</v>
      </c>
      <c r="CD33" s="118" t="s">
        <v>47</v>
      </c>
      <c r="CE33" s="117"/>
      <c r="CF33" s="115">
        <f>IF(H15="Imperial",                      2*(((BY89*(H55-(H45/2))*(BX92+H55))/1728)*(H33/100)),                      2*(((BY89*(H55-(H45/2))*(BX92+H55))/1000000000)*(H33/100)))</f>
        <v>0</v>
      </c>
      <c r="CG33" s="114">
        <f>IF(H15="Imperial",           (((BZ89*(BZ91)*(BY5+H55))/1728)-BY7)*(H33/100),                    (((BZ89*(BZ91)*(BY5+H55))/1000000000)-BY7)*(H33/100))</f>
        <v>-39.144000000000005</v>
      </c>
      <c r="CH33" s="95"/>
      <c r="CI33" s="18"/>
      <c r="CJ33" s="504" t="str">
        <f>IF(H37=1,      "Chosen number of rows",    "Default number of rows")</f>
        <v>Chosen number of rows</v>
      </c>
      <c r="CK33" s="504"/>
      <c r="CL33" s="504"/>
      <c r="CM33" s="504"/>
      <c r="CN33" s="272">
        <f>IF(H37=1,       H41,         IF(OR(H37=2,H37=4),           IF(CR2=1,       CW12,     CT20),              IF(CR2=1,              IF(CX12&lt;CW12,        CX12,      CW12),             CT20)))</f>
        <v>1</v>
      </c>
      <c r="CP33" s="493"/>
      <c r="CQ33" s="493"/>
      <c r="CR33" s="498"/>
      <c r="CS33" s="498"/>
      <c r="CT33" s="498"/>
      <c r="CU33" s="511"/>
      <c r="CV33" s="511"/>
      <c r="CW33" s="493"/>
      <c r="CX33" s="495"/>
      <c r="CY33" s="495"/>
      <c r="CZ33" s="497"/>
      <c r="DA33" s="5"/>
      <c r="DB33" s="19"/>
      <c r="DC33" s="19"/>
      <c r="DD33" s="9"/>
      <c r="DE33" s="9"/>
      <c r="DF33" s="16"/>
      <c r="DG33" s="16"/>
      <c r="DH33" s="16"/>
      <c r="DI33" s="16"/>
      <c r="DJ33" s="16"/>
      <c r="DK33" s="16"/>
      <c r="DL33" s="16"/>
      <c r="DM33" s="9"/>
      <c r="DN33" s="9"/>
    </row>
    <row r="34" spans="2:118" ht="15.75" x14ac:dyDescent="0.25">
      <c r="B34" s="310"/>
      <c r="C34" s="307"/>
      <c r="D34" s="307"/>
      <c r="E34" s="307"/>
      <c r="F34" s="307"/>
      <c r="G34" s="23"/>
      <c r="H34" s="238"/>
      <c r="I34" s="238"/>
      <c r="J34" s="23"/>
      <c r="K34" s="38"/>
      <c r="L34" s="33"/>
      <c r="M34" s="42"/>
      <c r="N34" s="23"/>
      <c r="O34" s="23"/>
      <c r="P34" s="608"/>
      <c r="Q34" s="609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28" t="str">
        <f>AT79</f>
        <v>Minimum Trench Width</v>
      </c>
      <c r="AF34" s="220"/>
      <c r="AG34" s="220"/>
      <c r="AH34" s="220"/>
      <c r="AI34" s="23"/>
      <c r="AJ34" s="23"/>
      <c r="AK34" s="33"/>
      <c r="AM34" s="42"/>
      <c r="AN34" s="23"/>
      <c r="AO34" s="192"/>
      <c r="AP34" s="41"/>
      <c r="AQ34" s="41"/>
      <c r="AR34" s="293"/>
      <c r="AS34" s="41"/>
      <c r="AT34" s="178"/>
      <c r="AU34" s="192"/>
      <c r="AV34" s="192"/>
      <c r="AW34" s="192"/>
      <c r="AX34" s="23"/>
      <c r="AY34" s="23"/>
      <c r="AZ34" s="23"/>
      <c r="BA34" s="33"/>
      <c r="BC34" s="461"/>
      <c r="BD34" s="453"/>
      <c r="BE34" s="453"/>
      <c r="BF34" s="453"/>
      <c r="BG34" s="453"/>
      <c r="BH34" s="453"/>
      <c r="BI34" s="453"/>
      <c r="BJ34" s="453"/>
      <c r="BK34" s="453"/>
      <c r="BL34" s="453"/>
      <c r="BM34" s="453"/>
      <c r="BN34" s="453"/>
      <c r="BO34" s="453"/>
      <c r="BP34" s="453"/>
      <c r="BQ34" s="453"/>
      <c r="BR34" s="459"/>
      <c r="BU34" s="18"/>
      <c r="BV34" s="501"/>
      <c r="BW34" s="117"/>
      <c r="BX34" s="117"/>
      <c r="BY34" s="115"/>
      <c r="BZ34" s="117"/>
      <c r="CA34" s="288"/>
      <c r="CB34" s="117"/>
      <c r="CC34" s="115"/>
      <c r="CD34" s="117"/>
      <c r="CE34" s="117"/>
      <c r="CF34" s="115"/>
      <c r="CG34" s="114"/>
      <c r="CH34" s="95"/>
      <c r="CI34" s="18"/>
      <c r="CJ34" s="275"/>
      <c r="CK34" s="275"/>
      <c r="CL34" s="275"/>
      <c r="CM34" s="144"/>
      <c r="CN34" s="272"/>
      <c r="CP34" s="493"/>
      <c r="CQ34" s="493"/>
      <c r="CR34" s="495">
        <f>IF(CR2=1,          IF(CQ28=1,         IF(CP28&lt;=BY13,       1,        2),          IF(CQ28=2,                     IF(CP28&lt;=CC13,             1,           2),                                            IF(H15="Imperial",                                                                                                                                                                                   IF(CP28&lt;=((2*(CA67+(((BY61*BY63*H55)/1728)*(H33/100))))+(CS28*(CB67+(((BZ61*BZ63*H55)/1728)*(H33/100))))),       1,       2),                                                                                                                                     IF(CP28&lt;=((2*(CA67+(((BY61*BY63*H55)/1000000000)*(H33/100))))+(CS28*(CB67+(((BZ61*BZ63*H55)/1000000000)*(H33/100))))),       1,       2)))),         IF(CW12=1,        1,    2))</f>
        <v>2</v>
      </c>
      <c r="CS34" s="495">
        <f>IF(CP28&lt;=(2*(CT28+CV28)),          0,             IF(AND(CQ28=1,CP28&lt;=CF13), 0,  IF(H15="Imperial",           IF(CQ28=1,                        ROUNDUP((CP28-(CF13))/(CF67+((((H55-(H45/2))*CD61*CD65)/1728)*(H33/100))),0),                                                                                                                                         IF(CQ28=2,             ROUNDUP((CP28-(2*CT28))/(2*CF67),0),                 ROUNDUP((CP28-(2*(CT28+CV28)))/((2*CF67)+(CS28*CG67)),0))),                                                                                                                                                                                                           IF(CQ28=1,                        ROUNDUP((CP28-(CF13))/(CF67+((((H55-(H45/2))*CD61*CD65)/1000000000)*(H33/100))),0),                                                                                                                                                             IF(CQ28=2,                        ROUNDUP((CP28-(2*CT28))/(2*CF67),0),             ROUNDUP((CP28-(2*(CT28+CV28)))/((2*CF67)+(CS28*CG67)),0))))))</f>
        <v>0</v>
      </c>
      <c r="CT34" s="495"/>
      <c r="CU34" s="495">
        <f>CR34+CS34</f>
        <v>2</v>
      </c>
      <c r="CV34" s="495"/>
      <c r="CW34" s="493"/>
      <c r="CX34" s="496" t="s">
        <v>94</v>
      </c>
      <c r="CY34" s="496"/>
      <c r="CZ34" s="496"/>
      <c r="DA34" s="5"/>
      <c r="DB34" s="5"/>
      <c r="DC34" s="5"/>
      <c r="DD34" s="5"/>
      <c r="DE34" s="5"/>
      <c r="DF34" s="5"/>
      <c r="DG34" s="5"/>
      <c r="DH34" s="5"/>
      <c r="DI34" s="5"/>
      <c r="DJ34" s="16"/>
      <c r="DK34" s="16"/>
      <c r="DL34" s="16"/>
      <c r="DM34" s="9"/>
      <c r="DN34" s="9"/>
    </row>
    <row r="35" spans="2:118" ht="15" customHeight="1" x14ac:dyDescent="0.25">
      <c r="B35" s="306"/>
      <c r="C35" s="178"/>
      <c r="D35" s="178"/>
      <c r="E35" s="178"/>
      <c r="F35" s="178"/>
      <c r="G35" s="23"/>
      <c r="H35" s="178"/>
      <c r="I35" s="178"/>
      <c r="J35" s="23"/>
      <c r="K35" s="23"/>
      <c r="L35" s="33"/>
      <c r="M35" s="42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20"/>
      <c r="AF35" s="220"/>
      <c r="AG35" s="220"/>
      <c r="AH35" s="220"/>
      <c r="AI35" s="23"/>
      <c r="AJ35" s="23"/>
      <c r="AK35" s="33"/>
      <c r="AM35" s="42"/>
      <c r="AN35" s="67" t="s">
        <v>95</v>
      </c>
      <c r="AO35" s="194">
        <f>IF(H37=1,         IF(H15="Imperial",    (BX61+H27+H29)/12,            (BX61+H27+H29)/1000),            IF(H15="Imperial",                (BX61+H27+(H39/2))/12,              (BX61+H27+(H39/2))/1000))</f>
        <v>5.166666666666667</v>
      </c>
      <c r="AP35" s="41" t="str">
        <f>IF(H$15="Imperial",    "ft",       "m")</f>
        <v>ft</v>
      </c>
      <c r="AQ35" s="483" t="s">
        <v>96</v>
      </c>
      <c r="AR35" s="483"/>
      <c r="AS35" s="483"/>
      <c r="AT35" s="483"/>
      <c r="AU35" s="491">
        <f>CN41</f>
        <v>386.29703703703706</v>
      </c>
      <c r="AV35" s="491"/>
      <c r="AW35" s="491"/>
      <c r="AX35" s="23" t="str">
        <f>IF(H15="Imperial",        "Cubic Feet",        "Cubic Meters")</f>
        <v>Cubic Feet</v>
      </c>
      <c r="AY35" s="23"/>
      <c r="AZ35" s="50"/>
      <c r="BA35" s="33"/>
      <c r="BC35" s="461"/>
      <c r="BD35" s="453"/>
      <c r="BE35" s="453"/>
      <c r="BF35" s="453"/>
      <c r="BG35" s="453"/>
      <c r="BH35" s="453"/>
      <c r="BI35" s="453"/>
      <c r="BJ35" s="453"/>
      <c r="BK35" s="453"/>
      <c r="BL35" s="453"/>
      <c r="BM35" s="453"/>
      <c r="BN35" s="453"/>
      <c r="BO35" s="453"/>
      <c r="BP35" s="453"/>
      <c r="BQ35" s="453"/>
      <c r="BR35" s="459"/>
      <c r="BU35" s="18"/>
      <c r="BV35" s="501"/>
      <c r="BW35" s="506" t="s">
        <v>50</v>
      </c>
      <c r="BX35" s="506"/>
      <c r="BY35" s="122">
        <f>BY31+BY33+BY7</f>
        <v>58.715999999999994</v>
      </c>
      <c r="BZ35" s="506" t="s">
        <v>50</v>
      </c>
      <c r="CA35" s="506"/>
      <c r="CB35" s="506"/>
      <c r="CC35" s="122">
        <f>CC31+CC33+CC7</f>
        <v>19.571999999999989</v>
      </c>
      <c r="CD35" s="506" t="s">
        <v>50</v>
      </c>
      <c r="CE35" s="506"/>
      <c r="CF35" s="122">
        <f>CF31+CF33</f>
        <v>111.66</v>
      </c>
      <c r="CG35" s="114" t="s">
        <v>41</v>
      </c>
      <c r="CH35" s="95"/>
      <c r="CI35" s="18"/>
      <c r="CJ35" s="504" t="str">
        <f>IF($H$23=1,       "Min number of chambers per full Row",      "Max number of chambers per Row")</f>
        <v>Max number of chambers per Row</v>
      </c>
      <c r="CK35" s="504"/>
      <c r="CL35" s="504"/>
      <c r="CM35" s="504"/>
      <c r="CN35" s="272">
        <f>IF(CV54=0,      CQ54,        CU34)</f>
        <v>2</v>
      </c>
      <c r="CP35" s="493"/>
      <c r="CQ35" s="493"/>
      <c r="CR35" s="495"/>
      <c r="CS35" s="495"/>
      <c r="CT35" s="495"/>
      <c r="CU35" s="495"/>
      <c r="CV35" s="495"/>
      <c r="CW35" s="493"/>
      <c r="CX35" s="496"/>
      <c r="CY35" s="496"/>
      <c r="CZ35" s="496"/>
      <c r="DA35" s="5"/>
      <c r="DB35" s="5"/>
      <c r="DC35" s="5"/>
      <c r="DD35" s="5"/>
      <c r="DE35" s="5"/>
      <c r="DF35" s="5"/>
      <c r="DG35" s="5"/>
      <c r="DH35" s="5"/>
      <c r="DI35" s="5"/>
      <c r="DJ35" s="16"/>
      <c r="DK35" s="16"/>
      <c r="DL35" s="16"/>
      <c r="DM35" s="9"/>
      <c r="DN35" s="9"/>
    </row>
    <row r="36" spans="2:118" ht="4.5" customHeight="1" x14ac:dyDescent="0.25">
      <c r="B36" s="310"/>
      <c r="C36" s="307"/>
      <c r="D36" s="307"/>
      <c r="E36" s="307"/>
      <c r="F36" s="307"/>
      <c r="G36" s="23"/>
      <c r="H36" s="238"/>
      <c r="I36" s="238"/>
      <c r="J36" s="23"/>
      <c r="K36" s="37"/>
      <c r="L36" s="33"/>
      <c r="M36" s="42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33"/>
      <c r="AM36" s="42"/>
      <c r="AN36" s="292"/>
      <c r="AO36" s="178"/>
      <c r="AP36" s="41"/>
      <c r="AQ36" s="41"/>
      <c r="AR36" s="293"/>
      <c r="AS36" s="41"/>
      <c r="AT36" s="41"/>
      <c r="AU36" s="199"/>
      <c r="AV36" s="199"/>
      <c r="AW36" s="199"/>
      <c r="AX36" s="23"/>
      <c r="AY36" s="23"/>
      <c r="AZ36" s="23"/>
      <c r="BA36" s="33"/>
      <c r="BC36" s="461"/>
      <c r="BD36" s="453"/>
      <c r="BE36" s="453"/>
      <c r="BF36" s="453"/>
      <c r="BG36" s="453"/>
      <c r="BH36" s="453"/>
      <c r="BI36" s="453"/>
      <c r="BJ36" s="453"/>
      <c r="BK36" s="453"/>
      <c r="BL36" s="453"/>
      <c r="BM36" s="453"/>
      <c r="BN36" s="453"/>
      <c r="BO36" s="453"/>
      <c r="BP36" s="453"/>
      <c r="BQ36" s="453"/>
      <c r="BR36" s="459"/>
      <c r="BU36" s="18"/>
      <c r="BV36" s="125"/>
      <c r="BW36" s="125"/>
      <c r="BX36" s="125"/>
      <c r="BY36" s="125"/>
      <c r="BZ36" s="125"/>
      <c r="CA36" s="288"/>
      <c r="CB36" s="288"/>
      <c r="CC36" s="125"/>
      <c r="CD36" s="125"/>
      <c r="CE36" s="125"/>
      <c r="CF36" s="125"/>
      <c r="CG36" s="121"/>
      <c r="CH36" s="18"/>
      <c r="CI36" s="18"/>
      <c r="CJ36" s="275"/>
      <c r="CK36" s="275"/>
      <c r="CL36" s="275"/>
      <c r="CM36" s="144"/>
      <c r="CN36" s="272"/>
      <c r="CP36" s="496" t="s">
        <v>97</v>
      </c>
      <c r="CQ36" s="496" t="s">
        <v>98</v>
      </c>
      <c r="CR36" s="498" t="s">
        <v>99</v>
      </c>
      <c r="CS36" s="498" t="s">
        <v>100</v>
      </c>
      <c r="CT36" s="497"/>
      <c r="CU36" s="497"/>
      <c r="CV36" s="497"/>
      <c r="CW36" s="493"/>
      <c r="CX36" s="498" t="s">
        <v>101</v>
      </c>
      <c r="CY36" s="498"/>
      <c r="CZ36" s="539" t="s">
        <v>102</v>
      </c>
      <c r="DA36" s="5"/>
      <c r="DB36" s="7"/>
      <c r="DC36" s="7"/>
      <c r="DD36" s="7"/>
      <c r="DE36" s="7"/>
      <c r="DF36" s="7"/>
      <c r="DG36" s="7"/>
      <c r="DH36" s="7"/>
      <c r="DI36" s="7"/>
      <c r="DJ36" s="16"/>
      <c r="DK36" s="16"/>
      <c r="DL36" s="16"/>
      <c r="DM36" s="9"/>
      <c r="DN36" s="9"/>
    </row>
    <row r="37" spans="2:118" ht="15.75" x14ac:dyDescent="0.25">
      <c r="B37" s="310"/>
      <c r="C37" s="567" t="s">
        <v>103</v>
      </c>
      <c r="D37" s="567"/>
      <c r="E37" s="567"/>
      <c r="F37" s="567"/>
      <c r="G37" s="23"/>
      <c r="H37" s="547">
        <v>1</v>
      </c>
      <c r="I37" s="548"/>
      <c r="J37" s="23"/>
      <c r="K37" s="41"/>
      <c r="L37" s="33"/>
      <c r="M37" s="42"/>
      <c r="N37" s="23"/>
      <c r="O37" s="23"/>
      <c r="P37" s="23"/>
      <c r="Q37" s="23"/>
      <c r="R37" s="23"/>
      <c r="S37" s="23"/>
      <c r="T37" s="23"/>
      <c r="U37" s="441">
        <f>AU77</f>
        <v>15.333333333333334</v>
      </c>
      <c r="V37" s="441"/>
      <c r="W37" s="441"/>
      <c r="X37" s="23" t="str">
        <f>AX77</f>
        <v>ft</v>
      </c>
      <c r="Y37" s="228" t="str">
        <f>AT77</f>
        <v>Minimum Trench Length</v>
      </c>
      <c r="Z37" s="35"/>
      <c r="AA37" s="35"/>
      <c r="AB37" s="192"/>
      <c r="AC37" s="23"/>
      <c r="AD37" s="23"/>
      <c r="AE37" s="23"/>
      <c r="AF37" s="23"/>
      <c r="AG37" s="23"/>
      <c r="AH37" s="23"/>
      <c r="AI37" s="23"/>
      <c r="AJ37" s="23"/>
      <c r="AK37" s="33"/>
      <c r="AM37" s="42"/>
      <c r="AN37" s="23"/>
      <c r="AO37" s="23"/>
      <c r="AP37" s="23"/>
      <c r="AQ37" s="483" t="s">
        <v>104</v>
      </c>
      <c r="AR37" s="483"/>
      <c r="AS37" s="483"/>
      <c r="AT37" s="483"/>
      <c r="AU37" s="584">
        <f>(AT31*AW31)+(AT33*AW33)</f>
        <v>2</v>
      </c>
      <c r="AV37" s="584"/>
      <c r="AW37" s="584"/>
      <c r="AX37" s="23"/>
      <c r="AY37" s="23"/>
      <c r="AZ37" s="23"/>
      <c r="BA37" s="33"/>
      <c r="BC37" s="461"/>
      <c r="BD37" s="453"/>
      <c r="BE37" s="453"/>
      <c r="BF37" s="453"/>
      <c r="BG37" s="453"/>
      <c r="BH37" s="453"/>
      <c r="BI37" s="453"/>
      <c r="BJ37" s="453"/>
      <c r="BK37" s="453"/>
      <c r="BL37" s="453"/>
      <c r="BM37" s="453"/>
      <c r="BN37" s="453"/>
      <c r="BO37" s="453"/>
      <c r="BP37" s="453"/>
      <c r="BQ37" s="453"/>
      <c r="BR37" s="459"/>
      <c r="BU37" s="18"/>
      <c r="BV37" s="539"/>
      <c r="BW37" s="539"/>
      <c r="BX37" s="539"/>
      <c r="BY37" s="539"/>
      <c r="BZ37" s="539"/>
      <c r="CA37" s="539"/>
      <c r="CB37" s="539"/>
      <c r="CC37" s="539"/>
      <c r="CD37" s="539"/>
      <c r="CE37" s="539"/>
      <c r="CF37" s="539"/>
      <c r="CG37" s="114">
        <f>IF(H15="Imperial",                (((BZ89*(BZ91)*H55)/1728)*(H33/100)),                     (((BZ89*(BZ91)*H55)/1000000000)*(H33/100)))</f>
        <v>0</v>
      </c>
      <c r="CH37" s="95"/>
      <c r="CI37" s="18"/>
      <c r="CJ37" s="504" t="s">
        <v>105</v>
      </c>
      <c r="CK37" s="504"/>
      <c r="CL37" s="504"/>
      <c r="CM37" s="504"/>
      <c r="CN37" s="272">
        <f>CS59</f>
        <v>1</v>
      </c>
      <c r="CP37" s="496"/>
      <c r="CQ37" s="496"/>
      <c r="CR37" s="498"/>
      <c r="CS37" s="498"/>
      <c r="CT37" s="497"/>
      <c r="CU37" s="497"/>
      <c r="CV37" s="497"/>
      <c r="CW37" s="493"/>
      <c r="CX37" s="498"/>
      <c r="CY37" s="498"/>
      <c r="CZ37" s="539"/>
      <c r="DA37" s="5"/>
      <c r="DB37" s="7"/>
      <c r="DC37" s="7"/>
      <c r="DD37" s="7"/>
      <c r="DE37" s="7"/>
      <c r="DF37" s="7"/>
      <c r="DG37" s="7"/>
      <c r="DH37" s="7"/>
      <c r="DI37" s="7"/>
      <c r="DJ37" s="16"/>
      <c r="DK37" s="16"/>
      <c r="DL37" s="16"/>
      <c r="DM37" s="9"/>
      <c r="DN37" s="9"/>
    </row>
    <row r="38" spans="2:118" ht="15.75" x14ac:dyDescent="0.25">
      <c r="B38" s="310"/>
      <c r="C38" s="179"/>
      <c r="D38" s="179"/>
      <c r="E38" s="179"/>
      <c r="F38" s="179"/>
      <c r="G38" s="23"/>
      <c r="H38" s="178"/>
      <c r="I38" s="178"/>
      <c r="J38" s="23"/>
      <c r="K38" s="41"/>
      <c r="L38" s="33"/>
      <c r="M38" s="42"/>
      <c r="N38" s="23"/>
      <c r="O38" s="23"/>
      <c r="P38" s="23"/>
      <c r="Q38" s="23"/>
      <c r="R38" s="23"/>
      <c r="S38" s="23"/>
      <c r="T38" s="23"/>
      <c r="U38" s="23"/>
      <c r="V38" s="23"/>
      <c r="W38" s="610"/>
      <c r="X38" s="610"/>
      <c r="Y38" s="610"/>
      <c r="Z38" s="610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33"/>
      <c r="AM38" s="42"/>
      <c r="AN38" s="23"/>
      <c r="AO38" s="23"/>
      <c r="AP38" s="23"/>
      <c r="AQ38" s="41"/>
      <c r="AR38" s="293"/>
      <c r="AS38" s="41"/>
      <c r="AT38" s="41"/>
      <c r="AU38" s="178"/>
      <c r="AV38" s="178"/>
      <c r="AW38" s="178"/>
      <c r="AX38" s="23"/>
      <c r="AY38" s="23"/>
      <c r="AZ38" s="23"/>
      <c r="BA38" s="33"/>
      <c r="BC38" s="461"/>
      <c r="BD38" s="453"/>
      <c r="BE38" s="453"/>
      <c r="BF38" s="453"/>
      <c r="BG38" s="453"/>
      <c r="BH38" s="453"/>
      <c r="BI38" s="453"/>
      <c r="BJ38" s="453"/>
      <c r="BK38" s="453"/>
      <c r="BL38" s="453"/>
      <c r="BM38" s="453"/>
      <c r="BN38" s="453"/>
      <c r="BO38" s="453"/>
      <c r="BP38" s="453"/>
      <c r="BQ38" s="453"/>
      <c r="BR38" s="459"/>
      <c r="BU38" s="18"/>
      <c r="BV38" s="539"/>
      <c r="BW38" s="539"/>
      <c r="BX38" s="539"/>
      <c r="BY38" s="539"/>
      <c r="BZ38" s="539"/>
      <c r="CA38" s="539"/>
      <c r="CB38" s="539"/>
      <c r="CC38" s="539"/>
      <c r="CD38" s="539"/>
      <c r="CE38" s="539"/>
      <c r="CF38" s="539"/>
      <c r="CG38" s="114"/>
      <c r="CH38" s="12"/>
      <c r="CI38" s="18"/>
      <c r="CJ38" s="275"/>
      <c r="CK38" s="275"/>
      <c r="CL38" s="275"/>
      <c r="CM38" s="144"/>
      <c r="CN38" s="272"/>
      <c r="CP38" s="496"/>
      <c r="CQ38" s="496"/>
      <c r="CR38" s="498"/>
      <c r="CS38" s="498"/>
      <c r="CT38" s="497"/>
      <c r="CU38" s="497"/>
      <c r="CV38" s="497"/>
      <c r="CW38" s="493"/>
      <c r="CX38" s="498"/>
      <c r="CY38" s="498"/>
      <c r="CZ38" s="539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9"/>
      <c r="DN38" s="9"/>
    </row>
    <row r="39" spans="2:118" ht="15.75" x14ac:dyDescent="0.25">
      <c r="B39" s="310"/>
      <c r="C39" s="567" t="str">
        <f>IF(H15="Imperial","Space Between each Layer (min. 12 Inches)","Space Between each Layer (min. 305mm)")</f>
        <v>Space Between each Layer (min. 12 Inches)</v>
      </c>
      <c r="D39" s="567"/>
      <c r="E39" s="567"/>
      <c r="F39" s="567"/>
      <c r="G39" s="23"/>
      <c r="H39" s="576">
        <v>6</v>
      </c>
      <c r="I39" s="575"/>
      <c r="J39" s="23"/>
      <c r="K39" s="38" t="str">
        <f>IF($H$15="Imperial","in","mm")</f>
        <v>in</v>
      </c>
      <c r="L39" s="33"/>
      <c r="M39" s="42"/>
      <c r="N39" s="23"/>
      <c r="O39" s="23"/>
      <c r="P39" s="23"/>
      <c r="Q39" s="23"/>
      <c r="R39" s="23"/>
      <c r="S39" s="23"/>
      <c r="T39" s="23"/>
      <c r="U39" s="23"/>
      <c r="V39" s="23"/>
      <c r="W39" s="610"/>
      <c r="X39" s="610"/>
      <c r="Y39" s="610"/>
      <c r="Z39" s="610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33"/>
      <c r="AM39" s="42"/>
      <c r="AN39" s="490" t="str">
        <f>IF(AND(H19="SC-44",H37&gt;1),  "We recommend using the SC-34 for multi-layer systems instead of the SC-44", IF(AND(H19="SC-18",H37&gt;1),  "We do not recommend creating multi-layered systems with the SC-18", ""))</f>
        <v/>
      </c>
      <c r="AO39" s="490"/>
      <c r="AP39" s="490"/>
      <c r="AQ39" s="490"/>
      <c r="AR39" s="490"/>
      <c r="AS39" s="490"/>
      <c r="AT39" s="490"/>
      <c r="AU39" s="490"/>
      <c r="AV39" s="490"/>
      <c r="AW39" s="490"/>
      <c r="AX39" s="490"/>
      <c r="AY39" s="490"/>
      <c r="AZ39" s="490"/>
      <c r="BA39" s="33"/>
      <c r="BC39" s="461"/>
      <c r="BD39" s="453"/>
      <c r="BE39" s="453"/>
      <c r="BF39" s="453"/>
      <c r="BG39" s="453"/>
      <c r="BH39" s="453"/>
      <c r="BI39" s="453"/>
      <c r="BJ39" s="453"/>
      <c r="BK39" s="453"/>
      <c r="BL39" s="453"/>
      <c r="BM39" s="453"/>
      <c r="BN39" s="453"/>
      <c r="BO39" s="453"/>
      <c r="BP39" s="453"/>
      <c r="BQ39" s="453"/>
      <c r="BR39" s="459"/>
      <c r="BU39" s="18"/>
      <c r="BV39" s="539"/>
      <c r="BW39" s="539"/>
      <c r="BX39" s="539"/>
      <c r="BY39" s="539"/>
      <c r="BZ39" s="539"/>
      <c r="CA39" s="539"/>
      <c r="CB39" s="539"/>
      <c r="CC39" s="539"/>
      <c r="CD39" s="539"/>
      <c r="CE39" s="539"/>
      <c r="CF39" s="539"/>
      <c r="CG39" s="114" t="s">
        <v>50</v>
      </c>
      <c r="CH39" s="12"/>
      <c r="CI39" s="18"/>
      <c r="CJ39" s="500" t="s">
        <v>106</v>
      </c>
      <c r="CK39" s="500"/>
      <c r="CL39" s="500"/>
      <c r="CM39" s="500"/>
      <c r="CN39" s="263" t="str">
        <f>IF(CN33=1,    "no",     IF(CN35=1,      "no",       IF(CS61=0,          "no",          "yes")))</f>
        <v>no</v>
      </c>
      <c r="CP39" s="496"/>
      <c r="CQ39" s="496"/>
      <c r="CR39" s="498"/>
      <c r="CS39" s="498"/>
      <c r="CT39" s="497"/>
      <c r="CU39" s="497"/>
      <c r="CV39" s="497"/>
      <c r="CW39" s="493"/>
      <c r="CX39" s="498"/>
      <c r="CY39" s="498"/>
      <c r="CZ39" s="539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9"/>
      <c r="DN39" s="9"/>
    </row>
    <row r="40" spans="2:118" ht="3.75" customHeight="1" x14ac:dyDescent="0.25">
      <c r="B40" s="310"/>
      <c r="C40" s="238"/>
      <c r="D40" s="238"/>
      <c r="E40" s="238"/>
      <c r="F40" s="238"/>
      <c r="G40" s="23"/>
      <c r="H40" s="178"/>
      <c r="I40" s="178"/>
      <c r="J40" s="23"/>
      <c r="K40" s="38"/>
      <c r="L40" s="33"/>
      <c r="M40" s="42"/>
      <c r="N40" s="23"/>
      <c r="O40" s="23"/>
      <c r="P40" s="229"/>
      <c r="Q40" s="229"/>
      <c r="R40" s="229"/>
      <c r="S40" s="229"/>
      <c r="T40" s="229"/>
      <c r="U40" s="229"/>
      <c r="V40" s="229"/>
      <c r="W40" s="229"/>
      <c r="X40" s="229"/>
      <c r="Y40" s="229"/>
      <c r="Z40" s="229"/>
      <c r="AA40" s="229"/>
      <c r="AB40" s="229"/>
      <c r="AC40" s="229"/>
      <c r="AD40" s="229"/>
      <c r="AE40" s="229"/>
      <c r="AF40" s="229"/>
      <c r="AG40" s="229"/>
      <c r="AH40" s="229"/>
      <c r="AI40" s="23"/>
      <c r="AJ40" s="23"/>
      <c r="AK40" s="33"/>
      <c r="AM40" s="42"/>
      <c r="AN40" s="23"/>
      <c r="AO40" s="23"/>
      <c r="AP40" s="23"/>
      <c r="AQ40" s="23"/>
      <c r="AR40" s="23"/>
      <c r="AS40" s="23"/>
      <c r="AT40" s="23"/>
      <c r="AU40" s="23"/>
      <c r="AV40" s="23"/>
      <c r="AW40" s="23"/>
      <c r="AX40" s="23"/>
      <c r="AY40" s="23"/>
      <c r="AZ40" s="23"/>
      <c r="BA40" s="33"/>
      <c r="BC40" s="461"/>
      <c r="BD40" s="453"/>
      <c r="BE40" s="453"/>
      <c r="BF40" s="453"/>
      <c r="BG40" s="453"/>
      <c r="BH40" s="453"/>
      <c r="BI40" s="453"/>
      <c r="BJ40" s="453"/>
      <c r="BK40" s="453"/>
      <c r="BL40" s="453"/>
      <c r="BM40" s="453"/>
      <c r="BN40" s="453"/>
      <c r="BO40" s="453"/>
      <c r="BP40" s="453"/>
      <c r="BQ40" s="453"/>
      <c r="BR40" s="459"/>
      <c r="BU40" s="18"/>
      <c r="BV40" s="539"/>
      <c r="BW40" s="539"/>
      <c r="BX40" s="539"/>
      <c r="BY40" s="539"/>
      <c r="BZ40" s="539"/>
      <c r="CA40" s="539"/>
      <c r="CB40" s="539"/>
      <c r="CC40" s="539"/>
      <c r="CD40" s="539"/>
      <c r="CE40" s="539"/>
      <c r="CF40" s="539"/>
      <c r="CG40" s="288"/>
      <c r="CH40" s="9"/>
      <c r="CI40" s="18"/>
      <c r="CJ40" s="145"/>
      <c r="CK40" s="145"/>
      <c r="CL40" s="271"/>
      <c r="CM40" s="144"/>
      <c r="CN40" s="135"/>
      <c r="CP40" s="497">
        <f>IF(H15="Imperial",   IF(CQ28=1,  IF(CU34=1,   BY13,   IF(CU34=2,   CF13,  (2*(CA67+((((H55-(H45/2))*BY61*BY65)/1728)*(H33/100))))+(CS34*(CF67+((((H55-(H45/2))*CD61*CD65)/1728)*(H33/100)))))),                                                                              IF(CU34=1,                   CA67+(((BY61*H55*BY63)/1728)*(H33/100)),                      IF(CU34=2,                2*CA67,                 (2*CA67)+(CS34*CF67)))),                                                                                                                  IF(CQ28=1,   IF(CU34=1,     BY13,     IF(CU34=2,    CF13,     (2*(CA67+((((H55-(H45/2))*BY61*BY65)/1000000000)*(H33/100))))+(CS34*(CF67+((((H55-(H45/2))*CD61*CD65)/1000000000)*(H33/100)))))),                                                                              IF(CU34=1,                CA67+(((BY61*H55*BY63)/1000000000)*(H33/100)),              IF(CU34=2,       2*CA67,              (2*CA67)+(CS34*CF67)))))</f>
        <v>386.29703703703706</v>
      </c>
      <c r="CQ40" s="497">
        <f>IF(CS28=0,          0,                IF(CU34=1,                   CG15,                      IF(CU34=2,                           2*CB67,                         (2*CB67)+(CS34*CG67))))</f>
        <v>0</v>
      </c>
      <c r="CR40" s="497">
        <f>IF(CQ28=1,     1,        IF(CQ28=2,        ROUNDDOWN((CP28/CP40),0),                           (ROUNDDOWN((CP28-(2*CP40))/CQ40,0))+2))</f>
        <v>1</v>
      </c>
      <c r="CS40" s="497">
        <f>IF(CQ28&lt;3,            0,                ROUNDDOWN((CP28-(2*CP40))/CQ40,0))</f>
        <v>0</v>
      </c>
      <c r="CT40" s="497"/>
      <c r="CU40" s="497"/>
      <c r="CV40" s="497"/>
      <c r="CW40" s="493"/>
      <c r="CX40" s="495">
        <f>IF(H37=OR(1,3),                    H41,          IF(CR2=1,                 CW12,        CT20))</f>
        <v>1</v>
      </c>
      <c r="CY40" s="495"/>
      <c r="CZ40" s="497">
        <f>CU34</f>
        <v>2</v>
      </c>
      <c r="DA40" s="5"/>
      <c r="DB40" s="7"/>
      <c r="DC40" s="7"/>
      <c r="DD40" s="7"/>
      <c r="DE40" s="7"/>
      <c r="DF40" s="7"/>
      <c r="DG40" s="7"/>
      <c r="DH40" s="7"/>
      <c r="DI40" s="7"/>
      <c r="DJ40" s="6"/>
      <c r="DK40" s="6"/>
      <c r="DL40" s="6"/>
      <c r="DM40" s="9"/>
      <c r="DN40" s="9"/>
    </row>
    <row r="41" spans="2:118" ht="18.75" x14ac:dyDescent="0.3">
      <c r="B41" s="310"/>
      <c r="C41" s="567" t="str">
        <f>IF(H37=1,"Number of Rows Desired","Number of Rows Desired in Bottom Layer")</f>
        <v>Number of Rows Desired</v>
      </c>
      <c r="D41" s="567"/>
      <c r="E41" s="567"/>
      <c r="F41" s="567"/>
      <c r="G41" s="23"/>
      <c r="H41" s="576">
        <v>1</v>
      </c>
      <c r="I41" s="575"/>
      <c r="J41" s="23"/>
      <c r="K41" s="38"/>
      <c r="L41" s="33"/>
      <c r="M41" s="42"/>
      <c r="N41" s="23"/>
      <c r="O41" s="23"/>
      <c r="P41" s="229"/>
      <c r="Q41" s="229"/>
      <c r="R41" s="229"/>
      <c r="S41" s="229"/>
      <c r="T41" s="229"/>
      <c r="U41" s="229"/>
      <c r="V41" s="229"/>
      <c r="W41" s="229"/>
      <c r="X41" s="229"/>
      <c r="Y41" s="229"/>
      <c r="Z41" s="229"/>
      <c r="AA41" s="229"/>
      <c r="AB41" s="229"/>
      <c r="AC41" s="229"/>
      <c r="AD41" s="229"/>
      <c r="AE41" s="229"/>
      <c r="AF41" s="229"/>
      <c r="AG41" s="229"/>
      <c r="AH41" s="229"/>
      <c r="AI41" s="23"/>
      <c r="AJ41" s="23"/>
      <c r="AK41" s="33"/>
      <c r="AM41" s="42"/>
      <c r="AN41" s="471" t="str">
        <f>IF(H37=1,           "NO LAYER",              IF(H37=2,              "1st LAYER (bottom)",        IF(H37=3,        "2nd LAYER (middle)",       "3rd LAYER")))</f>
        <v>NO LAYER</v>
      </c>
      <c r="AO41" s="471"/>
      <c r="AP41" s="471"/>
      <c r="AQ41" s="480" t="str">
        <f>IF(AT31=0,        "",             IF(H37&gt;1,            IF(AT31=0,        "",          IF(AND(AT43=0,     AT55=0),            "This system has too few chambers. We suggest using only 1 layer",                                                                    IF(AND(AT55&gt;0,AT43=0),               "This layer has no chambers to make room for the SedimenTrap",        ""))),           ""))</f>
        <v/>
      </c>
      <c r="AR41" s="480"/>
      <c r="AS41" s="480"/>
      <c r="AT41" s="480"/>
      <c r="AU41" s="480"/>
      <c r="AV41" s="480"/>
      <c r="AW41" s="480"/>
      <c r="AX41" s="480"/>
      <c r="AY41" s="480"/>
      <c r="AZ41" s="480"/>
      <c r="BA41" s="481"/>
      <c r="BC41" s="461"/>
      <c r="BD41" s="453"/>
      <c r="BE41" s="453"/>
      <c r="BF41" s="453"/>
      <c r="BG41" s="453"/>
      <c r="BH41" s="453"/>
      <c r="BI41" s="453"/>
      <c r="BJ41" s="453"/>
      <c r="BK41" s="453"/>
      <c r="BL41" s="453"/>
      <c r="BM41" s="453"/>
      <c r="BN41" s="453"/>
      <c r="BO41" s="453"/>
      <c r="BP41" s="453"/>
      <c r="BQ41" s="453"/>
      <c r="BR41" s="459"/>
      <c r="BU41" s="18"/>
      <c r="BV41" s="539"/>
      <c r="BW41" s="539"/>
      <c r="BX41" s="539"/>
      <c r="BY41" s="539"/>
      <c r="BZ41" s="539"/>
      <c r="CA41" s="539"/>
      <c r="CB41" s="539"/>
      <c r="CC41" s="539"/>
      <c r="CD41" s="539"/>
      <c r="CE41" s="539"/>
      <c r="CF41" s="539"/>
      <c r="CG41" s="114">
        <f>CG33+CG37+BY7</f>
        <v>58.715999999999994</v>
      </c>
      <c r="CH41" s="9"/>
      <c r="CI41" s="18"/>
      <c r="CJ41" s="500" t="s">
        <v>107</v>
      </c>
      <c r="CK41" s="500"/>
      <c r="CL41" s="500"/>
      <c r="CM41" s="500"/>
      <c r="CN41" s="146">
        <f>CN13+CN17+CN21+CN25</f>
        <v>386.29703703703706</v>
      </c>
      <c r="CO41" s="108"/>
      <c r="CP41" s="497"/>
      <c r="CQ41" s="497"/>
      <c r="CR41" s="497"/>
      <c r="CS41" s="497"/>
      <c r="CT41" s="497"/>
      <c r="CU41" s="497"/>
      <c r="CV41" s="497"/>
      <c r="CW41" s="493"/>
      <c r="CX41" s="495"/>
      <c r="CY41" s="495"/>
      <c r="CZ41" s="497"/>
      <c r="DA41" s="5"/>
      <c r="DB41" s="7"/>
      <c r="DC41" s="7"/>
      <c r="DD41" s="7"/>
      <c r="DE41" s="7"/>
      <c r="DF41" s="7"/>
      <c r="DG41" s="7"/>
      <c r="DH41" s="7"/>
      <c r="DI41" s="6"/>
      <c r="DJ41" s="6"/>
      <c r="DK41" s="6"/>
      <c r="DL41" s="9"/>
      <c r="DM41" s="9"/>
    </row>
    <row r="42" spans="2:118" ht="5.25" customHeight="1" x14ac:dyDescent="0.25">
      <c r="B42" s="311"/>
      <c r="C42" s="312"/>
      <c r="D42" s="312"/>
      <c r="E42" s="312"/>
      <c r="F42" s="312"/>
      <c r="G42" s="230"/>
      <c r="H42" s="312"/>
      <c r="I42" s="312"/>
      <c r="J42" s="230"/>
      <c r="K42" s="51"/>
      <c r="L42" s="33"/>
      <c r="M42" s="42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33"/>
      <c r="AM42" s="42"/>
      <c r="AN42" s="73"/>
      <c r="AO42" s="73"/>
      <c r="AP42" s="73"/>
      <c r="AQ42" s="73"/>
      <c r="AR42" s="73"/>
      <c r="AS42" s="73"/>
      <c r="AT42" s="73"/>
      <c r="AU42" s="73"/>
      <c r="AV42" s="73"/>
      <c r="AW42" s="73"/>
      <c r="AX42" s="73"/>
      <c r="AY42" s="73"/>
      <c r="AZ42" s="73"/>
      <c r="BA42" s="77"/>
      <c r="BC42" s="461"/>
      <c r="BD42" s="453"/>
      <c r="BE42" s="453"/>
      <c r="BF42" s="453"/>
      <c r="BG42" s="453"/>
      <c r="BH42" s="453"/>
      <c r="BI42" s="453"/>
      <c r="BJ42" s="453"/>
      <c r="BK42" s="453"/>
      <c r="BL42" s="453"/>
      <c r="BM42" s="453"/>
      <c r="BN42" s="453"/>
      <c r="BO42" s="453"/>
      <c r="BP42" s="453"/>
      <c r="BQ42" s="453"/>
      <c r="BR42" s="459"/>
      <c r="BU42" s="18"/>
      <c r="BV42" s="125"/>
      <c r="BW42" s="125"/>
      <c r="BX42" s="125"/>
      <c r="BY42" s="125"/>
      <c r="BZ42" s="125"/>
      <c r="CA42" s="125"/>
      <c r="CB42" s="125"/>
      <c r="CC42" s="125"/>
      <c r="CD42" s="125"/>
      <c r="CE42" s="125"/>
      <c r="CF42" s="125"/>
      <c r="CG42" s="114"/>
      <c r="CH42" s="9"/>
      <c r="CI42" s="18"/>
      <c r="CJ42" s="270"/>
      <c r="CK42" s="271"/>
      <c r="CL42" s="271"/>
      <c r="CM42" s="271"/>
      <c r="CN42" s="141"/>
      <c r="CO42" s="108"/>
      <c r="CP42" s="498" t="s">
        <v>108</v>
      </c>
      <c r="CQ42" s="498" t="s">
        <v>109</v>
      </c>
      <c r="CR42" s="498" t="s">
        <v>110</v>
      </c>
      <c r="CS42" s="498" t="s">
        <v>111</v>
      </c>
      <c r="CT42" s="498"/>
      <c r="CU42" s="495"/>
      <c r="CV42" s="511"/>
      <c r="CW42" s="493"/>
      <c r="CX42" s="496" t="s">
        <v>105</v>
      </c>
      <c r="CY42" s="496"/>
      <c r="CZ42" s="498" t="str">
        <f>IF(CP46=0,         "N/A",      "Number of chambers in short row")</f>
        <v>N/A</v>
      </c>
      <c r="DA42" s="5"/>
      <c r="DB42" s="5"/>
      <c r="DC42" s="5"/>
      <c r="DD42" s="5"/>
      <c r="DE42" s="5"/>
      <c r="DF42" s="5"/>
      <c r="DG42" s="5"/>
      <c r="DH42" s="5"/>
      <c r="DI42" s="6"/>
      <c r="DJ42" s="6"/>
      <c r="DK42" s="6"/>
      <c r="DL42" s="9"/>
      <c r="DM42" s="9"/>
    </row>
    <row r="43" spans="2:118" ht="18.75" x14ac:dyDescent="0.25">
      <c r="B43" s="568" t="str">
        <f>IF($H$23="Width","Maximum Number of Rows Based on Constraint Dimension","Minimum Number of Rows Based on Constraint Dimension")</f>
        <v>Minimum Number of Rows Based on Constraint Dimension</v>
      </c>
      <c r="C43" s="569"/>
      <c r="D43" s="569"/>
      <c r="E43" s="569"/>
      <c r="F43" s="569"/>
      <c r="G43" s="41"/>
      <c r="H43" s="583">
        <f>CW2</f>
        <v>1</v>
      </c>
      <c r="I43" s="583"/>
      <c r="J43" s="230"/>
      <c r="K43" s="51"/>
      <c r="L43" s="33"/>
      <c r="M43" s="42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36" t="s">
        <v>55</v>
      </c>
      <c r="Y43" s="23"/>
      <c r="Z43" s="611">
        <f>AU15</f>
        <v>186.1</v>
      </c>
      <c r="AA43" s="611"/>
      <c r="AB43" s="611"/>
      <c r="AC43" s="37" t="str">
        <f>AX15</f>
        <v>Cubic Feet</v>
      </c>
      <c r="AD43" s="37"/>
      <c r="AE43" s="23"/>
      <c r="AF43" s="23"/>
      <c r="AG43" s="23"/>
      <c r="AH43" s="23"/>
      <c r="AI43" s="23"/>
      <c r="AJ43" s="23"/>
      <c r="AK43" s="33"/>
      <c r="AM43" s="42"/>
      <c r="AN43" s="78" t="s">
        <v>87</v>
      </c>
      <c r="AO43" s="277">
        <f>IF(H37=1,           0,       CN98)</f>
        <v>0</v>
      </c>
      <c r="AP43" s="79" t="str">
        <f>IF(H$15="Imperial",    "ft",       "m")</f>
        <v>ft</v>
      </c>
      <c r="AQ43" s="472" t="s">
        <v>88</v>
      </c>
      <c r="AR43" s="472"/>
      <c r="AS43" s="73"/>
      <c r="AT43" s="73">
        <f>IF(H37=1,              0,           IF(CN96="no",             CS115,          IF(CS118=0,        CS116,       CS117)))</f>
        <v>0</v>
      </c>
      <c r="AU43" s="73" t="s">
        <v>89</v>
      </c>
      <c r="AV43" s="73"/>
      <c r="AW43" s="73">
        <f>IF(AT43=0,        0,          IF(CN96="no",         IF(CN92=1,  CS118, CS119),       IF(CS118=0,         CS119,         CS118)))</f>
        <v>0</v>
      </c>
      <c r="AX43" s="73" t="s">
        <v>90</v>
      </c>
      <c r="AY43" s="73"/>
      <c r="AZ43" s="80"/>
      <c r="BA43" s="77"/>
      <c r="BC43" s="461"/>
      <c r="BD43" s="453"/>
      <c r="BE43" s="453"/>
      <c r="BF43" s="453"/>
      <c r="BG43" s="453"/>
      <c r="BH43" s="453"/>
      <c r="BI43" s="453"/>
      <c r="BJ43" s="453"/>
      <c r="BK43" s="453"/>
      <c r="BL43" s="453"/>
      <c r="BM43" s="453"/>
      <c r="BN43" s="453"/>
      <c r="BO43" s="453"/>
      <c r="BP43" s="453"/>
      <c r="BQ43" s="453"/>
      <c r="BR43" s="459"/>
      <c r="BU43" s="18"/>
      <c r="BV43" s="501" t="s">
        <v>112</v>
      </c>
      <c r="BW43" s="508" t="s">
        <v>16</v>
      </c>
      <c r="BX43" s="508"/>
      <c r="BY43" s="508"/>
      <c r="BZ43" s="510" t="s">
        <v>60</v>
      </c>
      <c r="CA43" s="510"/>
      <c r="CB43" s="510"/>
      <c r="CC43" s="510"/>
      <c r="CD43" s="439" t="s">
        <v>18</v>
      </c>
      <c r="CE43" s="439"/>
      <c r="CF43" s="439"/>
      <c r="CG43" s="114" t="s">
        <v>19</v>
      </c>
      <c r="CH43" s="9"/>
      <c r="CI43" s="18"/>
      <c r="CJ43" s="532" t="s">
        <v>113</v>
      </c>
      <c r="CK43" s="532"/>
      <c r="CL43" s="532"/>
      <c r="CM43" s="532"/>
      <c r="CN43" s="139">
        <f>IF(H15="Imperial",      IF(CN35=1,            (BY5+H55+H55)/12,                   IF(CN35=2,                   (2*BY65)/12,                          (((CN35-2)*CD65)+(2*BY65))/12)),                                                                                                                                                                                                            IF(CN35=1,                                                (BY5+H55+H55)/1000,                  IF(CN35=2,                   (2*BY65)/1000,                     (((CN35-2)*CD65)+(2*BY65))/1000)))</f>
        <v>15.333333333333334</v>
      </c>
      <c r="CO43" s="108"/>
      <c r="CP43" s="498"/>
      <c r="CQ43" s="498"/>
      <c r="CR43" s="498"/>
      <c r="CS43" s="498"/>
      <c r="CT43" s="498"/>
      <c r="CU43" s="511"/>
      <c r="CV43" s="511"/>
      <c r="CW43" s="493"/>
      <c r="CX43" s="496"/>
      <c r="CY43" s="496"/>
      <c r="CZ43" s="498"/>
      <c r="DA43" s="5"/>
      <c r="DB43" s="5"/>
      <c r="DC43" s="5"/>
      <c r="DD43" s="5"/>
      <c r="DE43" s="5"/>
      <c r="DF43" s="5"/>
      <c r="DG43" s="5"/>
      <c r="DH43" s="5"/>
      <c r="DI43" s="6"/>
      <c r="DJ43" s="6"/>
      <c r="DK43" s="6"/>
      <c r="DL43" s="9"/>
      <c r="DM43" s="9"/>
    </row>
    <row r="44" spans="2:118" ht="4.5" customHeight="1" x14ac:dyDescent="0.25">
      <c r="B44" s="310"/>
      <c r="C44" s="307"/>
      <c r="D44" s="307"/>
      <c r="E44" s="307"/>
      <c r="F44" s="307"/>
      <c r="G44" s="23"/>
      <c r="H44" s="238"/>
      <c r="I44" s="238"/>
      <c r="J44" s="23"/>
      <c r="K44" s="37"/>
      <c r="L44" s="33"/>
      <c r="M44" s="42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17"/>
      <c r="AA44" s="217"/>
      <c r="AB44" s="217"/>
      <c r="AC44" s="37"/>
      <c r="AD44" s="37"/>
      <c r="AE44" s="23"/>
      <c r="AF44" s="23"/>
      <c r="AG44" s="23"/>
      <c r="AH44" s="23"/>
      <c r="AI44" s="23"/>
      <c r="AJ44" s="23"/>
      <c r="AK44" s="33"/>
      <c r="AM44" s="42"/>
      <c r="AN44" s="73"/>
      <c r="AO44" s="73"/>
      <c r="AP44" s="79"/>
      <c r="AQ44" s="73"/>
      <c r="AR44" s="73"/>
      <c r="AS44" s="73"/>
      <c r="AT44" s="73"/>
      <c r="AU44" s="73"/>
      <c r="AV44" s="73"/>
      <c r="AW44" s="73"/>
      <c r="AX44" s="73"/>
      <c r="AY44" s="73"/>
      <c r="AZ44" s="73"/>
      <c r="BA44" s="77"/>
      <c r="BC44" s="461"/>
      <c r="BD44" s="453"/>
      <c r="BE44" s="453"/>
      <c r="BF44" s="453"/>
      <c r="BG44" s="453"/>
      <c r="BH44" s="453"/>
      <c r="BI44" s="453"/>
      <c r="BJ44" s="453"/>
      <c r="BK44" s="453"/>
      <c r="BL44" s="453"/>
      <c r="BM44" s="453"/>
      <c r="BN44" s="453"/>
      <c r="BO44" s="453"/>
      <c r="BP44" s="453"/>
      <c r="BQ44" s="453"/>
      <c r="BR44" s="459"/>
      <c r="BU44" s="18"/>
      <c r="BV44" s="501"/>
      <c r="BW44" s="508"/>
      <c r="BX44" s="508"/>
      <c r="BY44" s="508"/>
      <c r="BZ44" s="123"/>
      <c r="CA44" s="123"/>
      <c r="CB44" s="123"/>
      <c r="CC44" s="123"/>
      <c r="CD44" s="124"/>
      <c r="CE44" s="124"/>
      <c r="CF44" s="124"/>
      <c r="CG44" s="288"/>
      <c r="CH44" s="9"/>
      <c r="CI44" s="18"/>
      <c r="CJ44" s="270"/>
      <c r="CK44" s="271"/>
      <c r="CL44" s="271"/>
      <c r="CM44" s="271"/>
      <c r="CN44" s="141"/>
      <c r="CO44" s="7"/>
      <c r="CP44" s="498"/>
      <c r="CQ44" s="498"/>
      <c r="CR44" s="498"/>
      <c r="CS44" s="498"/>
      <c r="CT44" s="498"/>
      <c r="CU44" s="511"/>
      <c r="CV44" s="511"/>
      <c r="CW44" s="493"/>
      <c r="CX44" s="496"/>
      <c r="CY44" s="496"/>
      <c r="CZ44" s="498"/>
      <c r="DA44" s="5"/>
      <c r="DB44" s="7"/>
      <c r="DC44" s="7"/>
      <c r="DD44" s="7"/>
      <c r="DE44" s="7"/>
      <c r="DF44" s="7"/>
      <c r="DG44" s="7"/>
      <c r="DH44" s="7"/>
      <c r="DI44" s="6"/>
      <c r="DJ44" s="6"/>
      <c r="DK44" s="6"/>
      <c r="DL44" s="9"/>
      <c r="DM44" s="9"/>
    </row>
    <row r="45" spans="2:118" ht="15.75" customHeight="1" x14ac:dyDescent="0.25">
      <c r="B45" s="310"/>
      <c r="C45" s="567" t="str">
        <f>IF(H19="SC-44",     IF(H15="Imperial",     "Space Between Each Row (min. 9 inches)",         "Space Between Each Row (min. 228 mm)"),            IF(H15="Imperial",               "Space Between Each Row (min. 6 inches)",        "Space Between Each Row (min. 152mm)"))</f>
        <v>Space Between Each Row (min. 9 inches)</v>
      </c>
      <c r="D45" s="567"/>
      <c r="E45" s="567"/>
      <c r="F45" s="567"/>
      <c r="G45" s="23"/>
      <c r="H45" s="563">
        <v>6</v>
      </c>
      <c r="I45" s="564"/>
      <c r="J45" s="23"/>
      <c r="K45" s="38" t="str">
        <f>IF($H$15="Imperial","in","mm")</f>
        <v>in</v>
      </c>
      <c r="L45" s="33"/>
      <c r="M45" s="42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36" t="s">
        <v>58</v>
      </c>
      <c r="Y45" s="23"/>
      <c r="Z45" s="611">
        <f>AU17</f>
        <v>200.19703703703703</v>
      </c>
      <c r="AA45" s="611"/>
      <c r="AB45" s="611"/>
      <c r="AC45" s="37" t="str">
        <f>AX17</f>
        <v>Cubic Feet</v>
      </c>
      <c r="AD45" s="37"/>
      <c r="AE45" s="23"/>
      <c r="AF45" s="23"/>
      <c r="AG45" s="23"/>
      <c r="AH45" s="23"/>
      <c r="AI45" s="23"/>
      <c r="AJ45" s="23"/>
      <c r="AK45" s="33"/>
      <c r="AM45" s="42"/>
      <c r="AN45" s="81" t="s">
        <v>93</v>
      </c>
      <c r="AO45" s="174">
        <f>IF(H37=1,          0,     CN99)</f>
        <v>0</v>
      </c>
      <c r="AP45" s="76" t="str">
        <f>IF(H$15="Imperial",    "ft",       "m")</f>
        <v>ft</v>
      </c>
      <c r="AQ45" s="486" t="s">
        <v>88</v>
      </c>
      <c r="AR45" s="486"/>
      <c r="AS45" s="75"/>
      <c r="AT45" s="75">
        <f>IF(H37=1,        0,          IF(CN96="no",       0,      IF(CS118=0,         0,        CS116)))</f>
        <v>0</v>
      </c>
      <c r="AU45" s="75" t="s">
        <v>89</v>
      </c>
      <c r="AV45" s="75"/>
      <c r="AW45" s="75">
        <f>IF(AT45=0,      0,     CS119)</f>
        <v>0</v>
      </c>
      <c r="AX45" s="75" t="s">
        <v>90</v>
      </c>
      <c r="AY45" s="75"/>
      <c r="AZ45" s="73"/>
      <c r="BA45" s="77"/>
      <c r="BC45" s="461"/>
      <c r="BD45" s="453"/>
      <c r="BE45" s="453"/>
      <c r="BF45" s="453"/>
      <c r="BG45" s="453"/>
      <c r="BH45" s="453"/>
      <c r="BI45" s="453"/>
      <c r="BJ45" s="453"/>
      <c r="BK45" s="453"/>
      <c r="BL45" s="453"/>
      <c r="BM45" s="453"/>
      <c r="BN45" s="453"/>
      <c r="BO45" s="453"/>
      <c r="BP45" s="453"/>
      <c r="BQ45" s="453"/>
      <c r="BR45" s="459"/>
      <c r="BU45" s="18"/>
      <c r="BV45" s="501"/>
      <c r="BW45" s="507" t="s">
        <v>65</v>
      </c>
      <c r="BX45" s="507"/>
      <c r="BY45" s="115">
        <f>IF(H15="Imperial",             (((((BY5+H55)*(BX102+H55+(H45/2))*BY100)/1728)-BY7)*(H33/100)),                    (((((BY5+H55)*(BX102+H55+(H45/2))*BY100)/1000000000)-BY100)*(H33/100)))</f>
        <v>-39.144000000000005</v>
      </c>
      <c r="BZ45" s="507" t="s">
        <v>65</v>
      </c>
      <c r="CA45" s="507"/>
      <c r="CB45" s="507"/>
      <c r="CC45" s="115">
        <f>2*BY45</f>
        <v>-78.288000000000011</v>
      </c>
      <c r="CD45" s="116" t="s">
        <v>65</v>
      </c>
      <c r="CE45" s="117"/>
      <c r="CF45" s="115">
        <f>2*CA104</f>
        <v>111.66</v>
      </c>
      <c r="CG45" s="114" t="s">
        <v>25</v>
      </c>
      <c r="CH45" s="12"/>
      <c r="CI45" s="18"/>
      <c r="CJ45" s="532" t="s">
        <v>114</v>
      </c>
      <c r="CK45" s="532"/>
      <c r="CL45" s="532"/>
      <c r="CM45" s="532"/>
      <c r="CN45" s="138">
        <f>IF(H15="Imperial",                IF(CN33=1,                    (BY63+H55-(H45/2))/12,                            IF(CN33=2,             (2*BY63)/12,                     (((CN33-2)*BZ63)+(2*BY63))/12)),                                                                             IF(CN33=1,                                                                  (BY63+H55-(H45/2))/1000,                            IF(CN33=2,             (2*BY63)/1000,                (((CN33-2)*BZ63)+(2*BY63))/1000)))</f>
        <v>8.6666666666666661</v>
      </c>
      <c r="CO45" s="7"/>
      <c r="CP45" s="498"/>
      <c r="CQ45" s="498"/>
      <c r="CR45" s="498"/>
      <c r="CS45" s="498"/>
      <c r="CT45" s="498"/>
      <c r="CU45" s="511"/>
      <c r="CV45" s="511"/>
      <c r="CW45" s="493"/>
      <c r="CX45" s="496"/>
      <c r="CY45" s="496"/>
      <c r="CZ45" s="498"/>
      <c r="DA45" s="5"/>
      <c r="DB45" s="7"/>
      <c r="DF45" s="7"/>
      <c r="DG45" s="7"/>
      <c r="DH45" s="7"/>
      <c r="DI45" s="6"/>
      <c r="DJ45" s="6"/>
      <c r="DK45" s="6"/>
      <c r="DL45" s="9"/>
      <c r="DM45" s="9"/>
    </row>
    <row r="46" spans="2:118" ht="3.75" customHeight="1" x14ac:dyDescent="0.25">
      <c r="B46" s="310"/>
      <c r="C46" s="179"/>
      <c r="D46" s="179"/>
      <c r="E46" s="179"/>
      <c r="F46" s="179"/>
      <c r="G46" s="23"/>
      <c r="H46" s="178"/>
      <c r="I46" s="178"/>
      <c r="J46" s="23"/>
      <c r="K46" s="41"/>
      <c r="L46" s="33"/>
      <c r="M46" s="42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17"/>
      <c r="AA46" s="217"/>
      <c r="AB46" s="217"/>
      <c r="AC46" s="37"/>
      <c r="AD46" s="37"/>
      <c r="AE46" s="23"/>
      <c r="AF46" s="23"/>
      <c r="AG46" s="23"/>
      <c r="AH46" s="23"/>
      <c r="AI46" s="23"/>
      <c r="AJ46" s="23"/>
      <c r="AK46" s="33"/>
      <c r="AM46" s="42"/>
      <c r="AN46" s="73"/>
      <c r="AO46" s="73"/>
      <c r="AP46" s="79"/>
      <c r="AQ46" s="79"/>
      <c r="AR46" s="282"/>
      <c r="AS46" s="73"/>
      <c r="AT46" s="73"/>
      <c r="AU46" s="73"/>
      <c r="AV46" s="73"/>
      <c r="AW46" s="73"/>
      <c r="AX46" s="73"/>
      <c r="AY46" s="73"/>
      <c r="AZ46" s="73"/>
      <c r="BA46" s="77"/>
      <c r="BC46" s="461"/>
      <c r="BD46" s="453"/>
      <c r="BE46" s="453"/>
      <c r="BF46" s="453"/>
      <c r="BG46" s="453"/>
      <c r="BH46" s="453"/>
      <c r="BI46" s="453"/>
      <c r="BJ46" s="453"/>
      <c r="BK46" s="453"/>
      <c r="BL46" s="453"/>
      <c r="BM46" s="453"/>
      <c r="BN46" s="453"/>
      <c r="BO46" s="453"/>
      <c r="BP46" s="453"/>
      <c r="BQ46" s="453"/>
      <c r="BR46" s="459"/>
      <c r="BU46" s="18"/>
      <c r="BV46" s="501"/>
      <c r="BW46" s="118"/>
      <c r="BX46" s="117"/>
      <c r="BY46" s="115"/>
      <c r="BZ46" s="274"/>
      <c r="CA46" s="119"/>
      <c r="CB46" s="120"/>
      <c r="CC46" s="115"/>
      <c r="CD46" s="118"/>
      <c r="CE46" s="117"/>
      <c r="CF46" s="115"/>
      <c r="CG46" s="114"/>
      <c r="CH46" s="12"/>
      <c r="CI46" s="18"/>
      <c r="CJ46" s="261"/>
      <c r="CK46" s="261"/>
      <c r="CL46" s="261"/>
      <c r="CM46" s="261"/>
      <c r="CN46" s="141"/>
      <c r="CO46" s="7"/>
      <c r="CP46" s="493">
        <f>IF(CQ28=1,        0,          IF(CQ28=2,                    CP28-CP40,                CP28-(2*CP40)-(CS40*CQ40)))</f>
        <v>0</v>
      </c>
      <c r="CQ46" s="493">
        <f>IF(CQ28=1,   0,  IF(H15="Imperial",   IF(CQ28=2,    IF(CP46&lt;=(CA67+(((H55*BY61*BY63)/1728)*(H33/100))),    1,   2),     IF(CP46&lt;=(CB67+(((H55*BZ61*BZ63)/1728)*(H33/100))),    1,    2)),                       IF(CQ28=2,             IF(CP46&lt;=(CA67+((((H55)*BY61*BY63)/1000000000)*(H33/100))),      1,       2),                   IF(CP46&lt;=(CB67+(((H55*BZ61*BZ63)/1000000000)*(H33/100))),      1,      2))))</f>
        <v>0</v>
      </c>
      <c r="CR46" s="493">
        <f>IF(CQ28=1,       0,         IF(CQ28=2,           IF(CP46&lt;=(2*CA67),        0,           ROUNDUP((CP46-(2*CA67))/CF67,0)),           IF(CP46&lt;=(2*CB67),        0,          ROUNDUP((CP46-(2*CB67))/CG67,0))))</f>
        <v>0</v>
      </c>
      <c r="CS46" s="493">
        <f>CQ46+CR46</f>
        <v>0</v>
      </c>
      <c r="CT46" s="493"/>
      <c r="CU46" s="511"/>
      <c r="CV46" s="511"/>
      <c r="CW46" s="493"/>
      <c r="CX46" s="493">
        <f>IF(CN33=1,          CU34,       IF(CU34=CS46,        CQ28,                 CR40))</f>
        <v>2</v>
      </c>
      <c r="CY46" s="493"/>
      <c r="CZ46" s="493">
        <f>IF(CX40=1,      0,            IF(CV54=0,       0,            CZ40-1))</f>
        <v>0</v>
      </c>
      <c r="DA46" s="5"/>
      <c r="DB46" s="5"/>
      <c r="DF46" s="5"/>
      <c r="DG46" s="5"/>
      <c r="DH46" s="5"/>
      <c r="DI46" s="5"/>
      <c r="DJ46" s="5"/>
      <c r="DK46" s="5"/>
      <c r="DL46" s="9"/>
      <c r="DM46" s="9"/>
    </row>
    <row r="47" spans="2:118" ht="15.75" customHeight="1" x14ac:dyDescent="0.25">
      <c r="B47" s="310"/>
      <c r="C47" s="567" t="s">
        <v>115</v>
      </c>
      <c r="D47" s="567"/>
      <c r="E47" s="567"/>
      <c r="F47" s="567"/>
      <c r="G47" s="41"/>
      <c r="H47" s="576">
        <v>0</v>
      </c>
      <c r="I47" s="575"/>
      <c r="J47" s="23"/>
      <c r="K47" s="41"/>
      <c r="L47" s="33"/>
      <c r="M47" s="42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36" t="s">
        <v>64</v>
      </c>
      <c r="Y47" s="23"/>
      <c r="Z47" s="611">
        <f>AU19</f>
        <v>386.29703703703706</v>
      </c>
      <c r="AA47" s="611"/>
      <c r="AB47" s="611"/>
      <c r="AC47" s="37" t="str">
        <f>AX19</f>
        <v>Cubic Feet</v>
      </c>
      <c r="AD47" s="37"/>
      <c r="AE47" s="23"/>
      <c r="AF47" s="23"/>
      <c r="AG47" s="23"/>
      <c r="AH47" s="23"/>
      <c r="AI47" s="23"/>
      <c r="AJ47" s="23"/>
      <c r="AK47" s="33"/>
      <c r="AM47" s="42"/>
      <c r="AN47" s="82" t="s">
        <v>95</v>
      </c>
      <c r="AO47" s="277">
        <f>IF(H37=1,       0,      IF(H37=2,              IF(H15="Imperial",           (BX75+H29+(H39/2))/12,          (BX75+H29+(H39/2))/1000),         IF(H15="Imperial",        (BX75+H39)/12,              (BX75+H39)/1000)))</f>
        <v>0</v>
      </c>
      <c r="AP47" s="79" t="str">
        <f>IF(H$15="Imperial",    "ft",       "m")</f>
        <v>ft</v>
      </c>
      <c r="AQ47" s="478" t="s">
        <v>96</v>
      </c>
      <c r="AR47" s="478"/>
      <c r="AS47" s="478"/>
      <c r="AT47" s="478"/>
      <c r="AU47" s="581">
        <f>CN97</f>
        <v>0</v>
      </c>
      <c r="AV47" s="581"/>
      <c r="AW47" s="581"/>
      <c r="AX47" s="73" t="str">
        <f>IF(H15="Imperial",       "Cubic Feet",     "Cubic Meters")</f>
        <v>Cubic Feet</v>
      </c>
      <c r="AY47" s="73"/>
      <c r="AZ47" s="73"/>
      <c r="BA47" s="77"/>
      <c r="BC47" s="461"/>
      <c r="BD47" s="453"/>
      <c r="BE47" s="453"/>
      <c r="BF47" s="453"/>
      <c r="BG47" s="453"/>
      <c r="BH47" s="453"/>
      <c r="BI47" s="453"/>
      <c r="BJ47" s="453"/>
      <c r="BK47" s="453"/>
      <c r="BL47" s="453"/>
      <c r="BM47" s="453"/>
      <c r="BN47" s="453"/>
      <c r="BO47" s="453"/>
      <c r="BP47" s="453"/>
      <c r="BQ47" s="453"/>
      <c r="BR47" s="459"/>
      <c r="BU47" s="18"/>
      <c r="BV47" s="501"/>
      <c r="BW47" s="118" t="s">
        <v>47</v>
      </c>
      <c r="BX47" s="117"/>
      <c r="BY47" s="115">
        <f>IF(H15="Imperial",                                     (((BY102*H55*BY100)/1728)*(H33/100))+((((H55-(H45/2))*(BY5+H55+H55)*BY100)/1728)*(H33/100)),                                                                                                                                            (((BY102*H55*BY100)/1000000000)*(H33/100))+((((H55-(H45/2))*(BY5+H55+H55)*BY100)/1000000000)*(H33/100)))</f>
        <v>0</v>
      </c>
      <c r="BZ47" s="505" t="s">
        <v>47</v>
      </c>
      <c r="CA47" s="505"/>
      <c r="CB47" s="505"/>
      <c r="CC47" s="115">
        <f>IF(H15="Imperial",                2*(((BY100*BY102*H55)/1728)*(H33/100)),                            2*(((BY100*BY102*H55)/1000000000)*(H33/100)))</f>
        <v>0</v>
      </c>
      <c r="CD47" s="118" t="s">
        <v>47</v>
      </c>
      <c r="CE47" s="117"/>
      <c r="CF47" s="115">
        <f>IF(H15="Imperial",                      2*(((BY100*(H55-(H45/2))*(BX103+H55))/1728)*(H33/100)),                      2*(((BY100*(H55-(H45/2))*(BX103+H55))/1000000000)*(H33/100)))</f>
        <v>0</v>
      </c>
      <c r="CG47" s="114">
        <f>IF(H15="Imperial",           (((BZ100*(BZ102)*(BY5+H55))/1728)-BY7)*(H33/100),                    (((BZ100*(BZ102)*(BY5+H55))/1000000000)-BY7)*(H33/100))</f>
        <v>-39.144000000000005</v>
      </c>
      <c r="CH47" s="9"/>
      <c r="CI47" s="18"/>
      <c r="CJ47" s="261" t="s">
        <v>116</v>
      </c>
      <c r="CK47" s="147">
        <f>CL13+CL17+CL21+CL25</f>
        <v>200.19703703703703</v>
      </c>
      <c r="CL47" s="602" t="s">
        <v>117</v>
      </c>
      <c r="CM47" s="602"/>
      <c r="CN47" s="139">
        <f>CM13+CM17+CM21+CM25</f>
        <v>186.1</v>
      </c>
      <c r="CP47" s="493"/>
      <c r="CQ47" s="493"/>
      <c r="CR47" s="493"/>
      <c r="CS47" s="493"/>
      <c r="CT47" s="493"/>
      <c r="CU47" s="511"/>
      <c r="CV47" s="511"/>
      <c r="CW47" s="493"/>
      <c r="CX47" s="493"/>
      <c r="CY47" s="493"/>
      <c r="CZ47" s="493"/>
      <c r="DA47" s="5"/>
      <c r="DB47" s="5"/>
      <c r="DF47" s="5"/>
      <c r="DG47" s="5"/>
      <c r="DH47" s="5"/>
      <c r="DI47" s="5"/>
      <c r="DJ47" s="5"/>
      <c r="DK47" s="5"/>
      <c r="DL47" s="9"/>
      <c r="DM47" s="9"/>
    </row>
    <row r="48" spans="2:118" ht="3.75" customHeight="1" x14ac:dyDescent="0.25">
      <c r="B48" s="310"/>
      <c r="C48" s="238"/>
      <c r="D48" s="238"/>
      <c r="E48" s="238"/>
      <c r="F48" s="238"/>
      <c r="G48" s="23"/>
      <c r="H48" s="178"/>
      <c r="I48" s="178"/>
      <c r="J48" s="23"/>
      <c r="K48" s="41"/>
      <c r="L48" s="33"/>
      <c r="M48" s="42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17"/>
      <c r="AA48" s="217"/>
      <c r="AB48" s="217"/>
      <c r="AC48" s="37"/>
      <c r="AD48" s="37"/>
      <c r="AE48" s="23"/>
      <c r="AF48" s="23"/>
      <c r="AG48" s="23"/>
      <c r="AH48" s="23"/>
      <c r="AI48" s="23"/>
      <c r="AJ48" s="23"/>
      <c r="AK48" s="33"/>
      <c r="AM48" s="42"/>
      <c r="AN48" s="73"/>
      <c r="AO48" s="73"/>
      <c r="AP48" s="73"/>
      <c r="AQ48" s="73"/>
      <c r="AR48" s="73"/>
      <c r="AS48" s="73"/>
      <c r="AT48" s="73"/>
      <c r="AU48" s="73"/>
      <c r="AV48" s="73"/>
      <c r="AW48" s="73"/>
      <c r="AX48" s="73"/>
      <c r="AY48" s="73"/>
      <c r="AZ48" s="73"/>
      <c r="BA48" s="77"/>
      <c r="BC48" s="461"/>
      <c r="BD48" s="453"/>
      <c r="BE48" s="453"/>
      <c r="BF48" s="453"/>
      <c r="BG48" s="453"/>
      <c r="BH48" s="453"/>
      <c r="BI48" s="453"/>
      <c r="BJ48" s="453"/>
      <c r="BK48" s="453"/>
      <c r="BL48" s="453"/>
      <c r="BM48" s="453"/>
      <c r="BN48" s="453"/>
      <c r="BO48" s="453"/>
      <c r="BP48" s="453"/>
      <c r="BQ48" s="453"/>
      <c r="BR48" s="459"/>
      <c r="BS48" s="388"/>
      <c r="BT48" s="21"/>
      <c r="BU48" s="18"/>
      <c r="BV48" s="501"/>
      <c r="BW48" s="117"/>
      <c r="BX48" s="117"/>
      <c r="BY48" s="115"/>
      <c r="BZ48" s="117"/>
      <c r="CA48" s="288"/>
      <c r="CB48" s="117"/>
      <c r="CC48" s="115"/>
      <c r="CD48" s="117"/>
      <c r="CE48" s="117"/>
      <c r="CF48" s="115"/>
      <c r="CG48" s="114"/>
      <c r="CH48" s="9"/>
      <c r="CI48" s="18"/>
      <c r="CJ48" s="261"/>
      <c r="CK48" s="261"/>
      <c r="CL48" s="261"/>
      <c r="CM48" s="261"/>
      <c r="CN48" s="141"/>
      <c r="CP48" s="497"/>
      <c r="CQ48" s="497"/>
      <c r="CR48" s="497"/>
      <c r="CS48" s="497"/>
      <c r="CT48" s="497"/>
      <c r="CU48" s="497"/>
      <c r="CV48" s="497"/>
      <c r="CW48" s="497"/>
      <c r="CX48" s="158"/>
      <c r="CY48" s="158"/>
      <c r="CZ48" s="158"/>
      <c r="DA48" s="5"/>
      <c r="DB48" s="5"/>
      <c r="DF48" s="5"/>
      <c r="DG48" s="5"/>
      <c r="DH48" s="5"/>
      <c r="DI48" s="5"/>
      <c r="DJ48" s="5"/>
      <c r="DK48" s="5"/>
      <c r="DL48" s="9"/>
      <c r="DM48" s="9"/>
    </row>
    <row r="49" spans="2:117" ht="23.25" x14ac:dyDescent="0.25">
      <c r="B49" s="313"/>
      <c r="C49" s="569" t="s">
        <v>118</v>
      </c>
      <c r="D49" s="569"/>
      <c r="E49" s="569"/>
      <c r="F49" s="569"/>
      <c r="G49" s="41"/>
      <c r="H49" s="583">
        <f>IF(H15="Imperial",    IF(AT33=0,       IF(AW31&lt;4,    1,      IF(AO31&gt;125,      3,      2)),     IF(AW33&lt;4,       1,       IF(AO31&gt;125,      3,       2))),                                                                                                                                             IF(AT33=0,   IF(AW31&lt;4,    1,      IF(AO31&gt;38.1,      3,      2)),     IF(AW33&lt;4,       1,       IF(AO31&gt;38.1,      3,       2))))</f>
        <v>1</v>
      </c>
      <c r="I49" s="583"/>
      <c r="J49" s="23"/>
      <c r="K49" s="23"/>
      <c r="L49" s="33"/>
      <c r="M49" s="42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36" t="s">
        <v>66</v>
      </c>
      <c r="Y49" s="23"/>
      <c r="Z49" s="611">
        <f>AU21</f>
        <v>88</v>
      </c>
      <c r="AA49" s="611"/>
      <c r="AB49" s="611"/>
      <c r="AC49" s="37" t="str">
        <f>AX21</f>
        <v>Cubic Feet</v>
      </c>
      <c r="AD49" s="37"/>
      <c r="AE49" s="23"/>
      <c r="AF49" s="23"/>
      <c r="AG49" s="23"/>
      <c r="AH49" s="23"/>
      <c r="AI49" s="23"/>
      <c r="AJ49" s="23"/>
      <c r="AK49" s="33"/>
      <c r="AM49" s="42"/>
      <c r="AN49" s="73"/>
      <c r="AO49" s="73"/>
      <c r="AP49" s="73"/>
      <c r="AQ49" s="478" t="s">
        <v>104</v>
      </c>
      <c r="AR49" s="478"/>
      <c r="AS49" s="478"/>
      <c r="AT49" s="478"/>
      <c r="AU49" s="479">
        <f>(AT43*AW43)+(AT45*AW45)</f>
        <v>0</v>
      </c>
      <c r="AV49" s="479"/>
      <c r="AW49" s="479"/>
      <c r="AX49" s="73"/>
      <c r="AY49" s="73"/>
      <c r="AZ49" s="75"/>
      <c r="BA49" s="77"/>
      <c r="BC49" s="461"/>
      <c r="BD49" s="453"/>
      <c r="BE49" s="453"/>
      <c r="BF49" s="453"/>
      <c r="BG49" s="453"/>
      <c r="BH49" s="453"/>
      <c r="BI49" s="453"/>
      <c r="BJ49" s="453"/>
      <c r="BK49" s="453"/>
      <c r="BL49" s="453"/>
      <c r="BM49" s="453"/>
      <c r="BN49" s="453"/>
      <c r="BO49" s="453"/>
      <c r="BP49" s="453"/>
      <c r="BQ49" s="453"/>
      <c r="BR49" s="459"/>
      <c r="BU49" s="18"/>
      <c r="BV49" s="501"/>
      <c r="BW49" s="506" t="s">
        <v>50</v>
      </c>
      <c r="BX49" s="506"/>
      <c r="BY49" s="122">
        <f>BY7+BY47+BY19</f>
        <v>58.715999999999994</v>
      </c>
      <c r="BZ49" s="506" t="s">
        <v>50</v>
      </c>
      <c r="CA49" s="506"/>
      <c r="CB49" s="506"/>
      <c r="CC49" s="122">
        <f>CC45+CC47+CC7</f>
        <v>19.571999999999989</v>
      </c>
      <c r="CD49" s="506" t="s">
        <v>50</v>
      </c>
      <c r="CE49" s="506"/>
      <c r="CF49" s="122">
        <f>CF45+CF47</f>
        <v>111.66</v>
      </c>
      <c r="CG49" s="114" t="s">
        <v>41</v>
      </c>
      <c r="CH49" s="9"/>
      <c r="CI49" s="18"/>
      <c r="CJ49" s="147">
        <f>(CK17+CK25)*0.27</f>
        <v>0</v>
      </c>
      <c r="CK49" s="147"/>
      <c r="CL49" s="147"/>
      <c r="CM49" s="147"/>
      <c r="CN49" s="272"/>
      <c r="CP49" s="497"/>
      <c r="CQ49" s="497"/>
      <c r="CR49" s="497"/>
      <c r="CS49" s="497"/>
      <c r="CT49" s="497"/>
      <c r="CU49" s="497"/>
      <c r="CV49" s="497"/>
      <c r="CW49" s="497"/>
      <c r="CX49" s="158"/>
      <c r="CY49" s="158"/>
      <c r="CZ49" s="158"/>
      <c r="DA49" s="5"/>
      <c r="DB49" s="7"/>
      <c r="DF49" s="7"/>
      <c r="DG49" s="7"/>
      <c r="DH49" s="7"/>
      <c r="DI49" s="7"/>
      <c r="DJ49" s="7"/>
      <c r="DK49" s="7"/>
      <c r="DL49" s="9"/>
      <c r="DM49" s="9"/>
    </row>
    <row r="50" spans="2:117" ht="4.5" customHeight="1" x14ac:dyDescent="0.25">
      <c r="B50" s="313"/>
      <c r="C50" s="238"/>
      <c r="D50" s="238"/>
      <c r="E50" s="238"/>
      <c r="F50" s="238"/>
      <c r="G50" s="23"/>
      <c r="H50" s="178"/>
      <c r="I50" s="178"/>
      <c r="J50" s="23"/>
      <c r="K50" s="23"/>
      <c r="L50" s="33"/>
      <c r="M50" s="42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178"/>
      <c r="Y50" s="23"/>
      <c r="Z50" s="217"/>
      <c r="AA50" s="217"/>
      <c r="AB50" s="217"/>
      <c r="AC50" s="37"/>
      <c r="AD50" s="37"/>
      <c r="AE50" s="23"/>
      <c r="AF50" s="23"/>
      <c r="AG50" s="23"/>
      <c r="AH50" s="23"/>
      <c r="AI50" s="23"/>
      <c r="AJ50" s="23"/>
      <c r="AK50" s="33"/>
      <c r="AM50" s="42"/>
      <c r="AN50" s="78"/>
      <c r="AO50" s="278"/>
      <c r="AP50" s="83"/>
      <c r="AQ50" s="79"/>
      <c r="AR50" s="282"/>
      <c r="AS50" s="79"/>
      <c r="AT50" s="79"/>
      <c r="AU50" s="278"/>
      <c r="AV50" s="278"/>
      <c r="AW50" s="278"/>
      <c r="AX50" s="73"/>
      <c r="AY50" s="73"/>
      <c r="AZ50" s="73"/>
      <c r="BA50" s="77"/>
      <c r="BC50" s="461"/>
      <c r="BD50" s="453"/>
      <c r="BE50" s="453"/>
      <c r="BF50" s="453"/>
      <c r="BG50" s="453"/>
      <c r="BH50" s="453"/>
      <c r="BI50" s="453"/>
      <c r="BJ50" s="453"/>
      <c r="BK50" s="453"/>
      <c r="BL50" s="453"/>
      <c r="BM50" s="453"/>
      <c r="BN50" s="453"/>
      <c r="BO50" s="453"/>
      <c r="BP50" s="453"/>
      <c r="BQ50" s="453"/>
      <c r="BR50" s="459"/>
      <c r="BU50" s="18"/>
      <c r="BV50" s="125"/>
      <c r="BW50" s="125"/>
      <c r="BX50" s="125"/>
      <c r="BY50" s="125"/>
      <c r="BZ50" s="125"/>
      <c r="CA50" s="288"/>
      <c r="CB50" s="288"/>
      <c r="CC50" s="125"/>
      <c r="CD50" s="125"/>
      <c r="CE50" s="125"/>
      <c r="CF50" s="125"/>
      <c r="CG50" s="121"/>
      <c r="CH50" s="9"/>
      <c r="CI50" s="18"/>
      <c r="CJ50" s="276"/>
      <c r="CK50" s="276"/>
      <c r="CL50" s="276"/>
      <c r="CM50" s="276"/>
      <c r="CN50" s="141"/>
      <c r="CP50" s="498" t="s">
        <v>119</v>
      </c>
      <c r="CQ50" s="498" t="s">
        <v>120</v>
      </c>
      <c r="CR50" s="498" t="s">
        <v>121</v>
      </c>
      <c r="CS50" s="498" t="s">
        <v>122</v>
      </c>
      <c r="CT50" s="498" t="s">
        <v>123</v>
      </c>
      <c r="CU50" s="498"/>
      <c r="CV50" s="496" t="s">
        <v>124</v>
      </c>
      <c r="CW50" s="135"/>
      <c r="CX50" s="158"/>
      <c r="CY50" s="158"/>
      <c r="CZ50" s="158"/>
      <c r="DA50" s="5"/>
      <c r="DF50" s="7"/>
      <c r="DG50" s="7"/>
      <c r="DH50" s="7"/>
      <c r="DI50" s="7"/>
      <c r="DJ50" s="7"/>
      <c r="DK50" s="7"/>
      <c r="DL50" s="9"/>
      <c r="DM50" s="9"/>
    </row>
    <row r="51" spans="2:117" ht="23.25" x14ac:dyDescent="0.35">
      <c r="B51" s="313"/>
      <c r="C51" s="561" t="s">
        <v>125</v>
      </c>
      <c r="D51" s="561"/>
      <c r="E51" s="561"/>
      <c r="F51" s="561"/>
      <c r="G51" s="41"/>
      <c r="H51" s="574" t="s">
        <v>126</v>
      </c>
      <c r="I51" s="575"/>
      <c r="J51" s="549"/>
      <c r="K51" s="550"/>
      <c r="L51" s="33"/>
      <c r="M51" s="42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36" t="s">
        <v>71</v>
      </c>
      <c r="Y51" s="23"/>
      <c r="Z51" s="611">
        <f>AU23</f>
        <v>144.13518518518518</v>
      </c>
      <c r="AA51" s="611"/>
      <c r="AB51" s="611"/>
      <c r="AC51" s="37" t="str">
        <f>AX23</f>
        <v>Cubic Feet</v>
      </c>
      <c r="AD51" s="37"/>
      <c r="AE51" s="23"/>
      <c r="AF51" s="23"/>
      <c r="AG51" s="23"/>
      <c r="AH51" s="23"/>
      <c r="AI51" s="23"/>
      <c r="AJ51" s="23"/>
      <c r="AK51" s="33"/>
      <c r="AM51" s="42"/>
      <c r="AN51" s="84"/>
      <c r="AO51" s="84"/>
      <c r="AP51" s="84"/>
      <c r="AQ51" s="84"/>
      <c r="AR51" s="85"/>
      <c r="AS51" s="84"/>
      <c r="AT51" s="84"/>
      <c r="AU51" s="84"/>
      <c r="AV51" s="84"/>
      <c r="AW51" s="84"/>
      <c r="AX51" s="84"/>
      <c r="AY51" s="84"/>
      <c r="AZ51" s="84"/>
      <c r="BA51" s="77"/>
      <c r="BC51" s="461"/>
      <c r="BD51" s="453"/>
      <c r="BE51" s="453"/>
      <c r="BF51" s="453"/>
      <c r="BG51" s="453"/>
      <c r="BH51" s="453"/>
      <c r="BI51" s="453"/>
      <c r="BJ51" s="453"/>
      <c r="BK51" s="453"/>
      <c r="BL51" s="453"/>
      <c r="BM51" s="453"/>
      <c r="BN51" s="453"/>
      <c r="BO51" s="453"/>
      <c r="BP51" s="453"/>
      <c r="BQ51" s="453"/>
      <c r="BR51" s="551"/>
      <c r="BU51" s="18"/>
      <c r="BV51" s="125"/>
      <c r="BW51" s="125"/>
      <c r="BX51" s="125"/>
      <c r="BY51" s="539" t="s">
        <v>127</v>
      </c>
      <c r="BZ51" s="539" t="s">
        <v>128</v>
      </c>
      <c r="CA51" s="125"/>
      <c r="CB51" s="125"/>
      <c r="CC51" s="125"/>
      <c r="CD51" s="125"/>
      <c r="CE51" s="125"/>
      <c r="CF51" s="125"/>
      <c r="CG51" s="114">
        <f>IF(H15="Imperial",                (((BZ100*(BZ102)*H55)/1728)*(H33/100)),                     (((BZ100*(BZ102)*H55)/1000000000)*(H33/100)))</f>
        <v>0</v>
      </c>
      <c r="CH51" s="290"/>
      <c r="CI51" s="18"/>
      <c r="CJ51" s="148" t="s">
        <v>129</v>
      </c>
      <c r="CK51" s="149"/>
      <c r="CL51" s="149"/>
      <c r="CM51" s="149"/>
      <c r="CN51" s="146">
        <f>CK13+CK17+CK21+CK25</f>
        <v>2</v>
      </c>
      <c r="CP51" s="498"/>
      <c r="CQ51" s="498"/>
      <c r="CR51" s="498"/>
      <c r="CS51" s="498"/>
      <c r="CT51" s="498"/>
      <c r="CU51" s="498"/>
      <c r="CV51" s="496"/>
      <c r="CW51" s="135"/>
      <c r="CX51" s="158"/>
      <c r="CY51" s="158"/>
      <c r="CZ51" s="158"/>
      <c r="DA51" s="5"/>
    </row>
    <row r="52" spans="2:117" ht="3.75" customHeight="1" x14ac:dyDescent="0.25">
      <c r="B52" s="313"/>
      <c r="C52" s="238"/>
      <c r="D52" s="238"/>
      <c r="E52" s="238"/>
      <c r="F52" s="238"/>
      <c r="G52" s="23"/>
      <c r="H52" s="178"/>
      <c r="I52" s="178"/>
      <c r="J52" s="23"/>
      <c r="K52" s="23"/>
      <c r="L52" s="33"/>
      <c r="M52" s="42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178"/>
      <c r="Y52" s="23"/>
      <c r="Z52" s="217"/>
      <c r="AA52" s="217"/>
      <c r="AB52" s="217"/>
      <c r="AC52" s="37"/>
      <c r="AD52" s="37"/>
      <c r="AE52" s="23"/>
      <c r="AF52" s="23"/>
      <c r="AG52" s="23"/>
      <c r="AH52" s="23"/>
      <c r="AI52" s="23"/>
      <c r="AJ52" s="23"/>
      <c r="AK52" s="33"/>
      <c r="AM52" s="42"/>
      <c r="AN52" s="73"/>
      <c r="AO52" s="73"/>
      <c r="AP52" s="73"/>
      <c r="AQ52" s="79"/>
      <c r="AR52" s="79"/>
      <c r="AS52" s="79"/>
      <c r="AT52" s="79"/>
      <c r="AU52" s="278"/>
      <c r="AV52" s="278"/>
      <c r="AW52" s="278"/>
      <c r="AX52" s="73"/>
      <c r="AY52" s="73"/>
      <c r="AZ52" s="73"/>
      <c r="BA52" s="77"/>
      <c r="BB52" s="388"/>
      <c r="BC52" s="461"/>
      <c r="BD52" s="453"/>
      <c r="BE52" s="453"/>
      <c r="BF52" s="453"/>
      <c r="BG52" s="453"/>
      <c r="BH52" s="453"/>
      <c r="BI52" s="453"/>
      <c r="BJ52" s="453"/>
      <c r="BK52" s="453"/>
      <c r="BL52" s="453"/>
      <c r="BM52" s="453"/>
      <c r="BN52" s="453"/>
      <c r="BO52" s="453"/>
      <c r="BP52" s="453"/>
      <c r="BQ52" s="453"/>
      <c r="BR52" s="551"/>
      <c r="BU52" s="18"/>
      <c r="BV52" s="125"/>
      <c r="BW52" s="125"/>
      <c r="BX52" s="125"/>
      <c r="BY52" s="539"/>
      <c r="BZ52" s="539"/>
      <c r="CA52" s="125"/>
      <c r="CB52" s="125"/>
      <c r="CC52" s="125"/>
      <c r="CD52" s="125"/>
      <c r="CE52" s="125"/>
      <c r="CF52" s="125"/>
      <c r="CG52" s="114"/>
      <c r="CH52" s="12"/>
      <c r="CI52" s="18"/>
      <c r="CJ52" s="20"/>
      <c r="CK52" s="105"/>
      <c r="CL52" s="16"/>
      <c r="CM52" s="16"/>
      <c r="CN52" s="16"/>
      <c r="CP52" s="498"/>
      <c r="CQ52" s="498"/>
      <c r="CR52" s="498"/>
      <c r="CS52" s="498"/>
      <c r="CT52" s="498"/>
      <c r="CU52" s="498"/>
      <c r="CV52" s="496"/>
      <c r="CW52" s="135"/>
      <c r="CX52" s="158"/>
      <c r="CY52" s="158"/>
      <c r="CZ52" s="158"/>
      <c r="DA52" s="5"/>
    </row>
    <row r="53" spans="2:117" ht="23.25" x14ac:dyDescent="0.3">
      <c r="B53" s="313"/>
      <c r="C53" s="561" t="s">
        <v>130</v>
      </c>
      <c r="D53" s="561"/>
      <c r="E53" s="561"/>
      <c r="F53" s="561"/>
      <c r="G53" s="41"/>
      <c r="H53" s="547">
        <v>1</v>
      </c>
      <c r="I53" s="548"/>
      <c r="J53" s="23"/>
      <c r="K53" s="23"/>
      <c r="L53" s="33"/>
      <c r="M53" s="42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45" t="s">
        <v>77</v>
      </c>
      <c r="Y53" s="23"/>
      <c r="Z53" s="642">
        <f>AU25</f>
        <v>2</v>
      </c>
      <c r="AA53" s="642"/>
      <c r="AB53" s="642"/>
      <c r="AC53" s="37" t="s">
        <v>131</v>
      </c>
      <c r="AD53" s="37"/>
      <c r="AE53" s="23"/>
      <c r="AF53" s="23"/>
      <c r="AG53" s="23"/>
      <c r="AH53" s="23"/>
      <c r="AI53" s="23"/>
      <c r="AJ53" s="23"/>
      <c r="AK53" s="33"/>
      <c r="AM53" s="42"/>
      <c r="AN53" s="471" t="str">
        <f>IF(H37&lt;3,            "NO LAYER",         IF(H37=3,   "1st LAYER (bottom)",       "2nd LAYER"))</f>
        <v>NO LAYER</v>
      </c>
      <c r="AO53" s="471"/>
      <c r="AP53" s="471"/>
      <c r="AQ53" s="471"/>
      <c r="AR53" s="471"/>
      <c r="AS53" s="73"/>
      <c r="AT53" s="73"/>
      <c r="AU53" s="73"/>
      <c r="AV53" s="73"/>
      <c r="AW53" s="73"/>
      <c r="AX53" s="73"/>
      <c r="AY53" s="73"/>
      <c r="AZ53" s="73"/>
      <c r="BA53" s="77"/>
      <c r="BC53" s="461"/>
      <c r="BD53" s="453"/>
      <c r="BE53" s="453"/>
      <c r="BF53" s="453"/>
      <c r="BG53" s="453"/>
      <c r="BH53" s="453"/>
      <c r="BI53" s="453"/>
      <c r="BJ53" s="453"/>
      <c r="BK53" s="453"/>
      <c r="BL53" s="453"/>
      <c r="BM53" s="453"/>
      <c r="BN53" s="453"/>
      <c r="BO53" s="453"/>
      <c r="BP53" s="453"/>
      <c r="BQ53" s="453"/>
      <c r="BR53" s="459"/>
      <c r="BU53" s="18"/>
      <c r="BV53" s="125"/>
      <c r="BW53" s="125"/>
      <c r="BX53" s="125"/>
      <c r="BY53" s="539"/>
      <c r="BZ53" s="539"/>
      <c r="CA53" s="125"/>
      <c r="CB53" s="125"/>
      <c r="CC53" s="125"/>
      <c r="CD53" s="125"/>
      <c r="CE53" s="125"/>
      <c r="CF53" s="125"/>
      <c r="CG53" s="114" t="s">
        <v>50</v>
      </c>
      <c r="CJ53" s="20"/>
      <c r="CK53" s="105"/>
      <c r="CL53" s="16"/>
      <c r="CM53" s="16"/>
      <c r="CN53" s="16"/>
      <c r="CP53" s="498"/>
      <c r="CQ53" s="498"/>
      <c r="CR53" s="498"/>
      <c r="CS53" s="498"/>
      <c r="CT53" s="498"/>
      <c r="CU53" s="498"/>
      <c r="CV53" s="496"/>
      <c r="CW53" s="135"/>
      <c r="CX53" s="158"/>
      <c r="CY53" s="158"/>
      <c r="CZ53" s="158"/>
      <c r="DA53" s="5"/>
    </row>
    <row r="54" spans="2:117" ht="3.75" customHeight="1" x14ac:dyDescent="0.25">
      <c r="B54" s="313"/>
      <c r="C54" s="307"/>
      <c r="D54" s="307"/>
      <c r="E54" s="307"/>
      <c r="F54" s="307"/>
      <c r="G54" s="41"/>
      <c r="H54" s="238"/>
      <c r="I54" s="238"/>
      <c r="J54" s="23"/>
      <c r="K54" s="23"/>
      <c r="L54" s="52"/>
      <c r="M54" s="213"/>
      <c r="N54" s="230"/>
      <c r="O54" s="230"/>
      <c r="P54" s="230"/>
      <c r="Q54" s="230"/>
      <c r="R54" s="230"/>
      <c r="S54" s="230"/>
      <c r="T54" s="230"/>
      <c r="U54" s="230"/>
      <c r="V54" s="230"/>
      <c r="W54" s="230"/>
      <c r="X54" s="230"/>
      <c r="Y54" s="230"/>
      <c r="Z54" s="230"/>
      <c r="AA54" s="230"/>
      <c r="AB54" s="230"/>
      <c r="AC54" s="230"/>
      <c r="AD54" s="230"/>
      <c r="AE54" s="230"/>
      <c r="AF54" s="230"/>
      <c r="AG54" s="230"/>
      <c r="AH54" s="230"/>
      <c r="AI54" s="230"/>
      <c r="AJ54" s="230"/>
      <c r="AK54" s="52"/>
      <c r="AM54" s="42"/>
      <c r="AN54" s="73"/>
      <c r="AO54" s="73"/>
      <c r="AP54" s="73"/>
      <c r="AQ54" s="73"/>
      <c r="AR54" s="73"/>
      <c r="AS54" s="73"/>
      <c r="AT54" s="73"/>
      <c r="AU54" s="73"/>
      <c r="AV54" s="73"/>
      <c r="AW54" s="73"/>
      <c r="AX54" s="73"/>
      <c r="AY54" s="73"/>
      <c r="AZ54" s="73"/>
      <c r="BA54" s="77"/>
      <c r="BC54" s="461"/>
      <c r="BD54" s="453"/>
      <c r="BE54" s="453"/>
      <c r="BF54" s="453"/>
      <c r="BG54" s="453"/>
      <c r="BH54" s="453"/>
      <c r="BI54" s="453"/>
      <c r="BJ54" s="453"/>
      <c r="BK54" s="453"/>
      <c r="BL54" s="453"/>
      <c r="BM54" s="453"/>
      <c r="BN54" s="453"/>
      <c r="BO54" s="453"/>
      <c r="BP54" s="453"/>
      <c r="BQ54" s="453"/>
      <c r="BR54" s="459"/>
      <c r="BU54" s="18"/>
      <c r="BV54" s="125"/>
      <c r="BW54" s="125"/>
      <c r="BX54" s="125"/>
      <c r="BY54" s="125"/>
      <c r="BZ54" s="125"/>
      <c r="CA54" s="288"/>
      <c r="CB54" s="288"/>
      <c r="CC54" s="125"/>
      <c r="CD54" s="125"/>
      <c r="CE54" s="125"/>
      <c r="CF54" s="125"/>
      <c r="CG54" s="114"/>
      <c r="CJ54" s="20"/>
      <c r="CK54" s="105"/>
      <c r="CL54" s="16"/>
      <c r="CM54" s="16"/>
      <c r="CN54" s="16"/>
      <c r="CP54" s="497">
        <f>IF(CQ28=1,            0,        IF(CU34&lt;=3,            0,          CU34-1-2))</f>
        <v>0</v>
      </c>
      <c r="CQ54" s="497">
        <f>IF(CU34=1,          1,               CU34-1)</f>
        <v>1</v>
      </c>
      <c r="CR54" s="497">
        <f>IF(CQ28=1,        IF(CQ54=1,        BY13,             CF13),               IF(CQ28=2,              IF(CQ54=1,           CC13,               4*CA67),                IF(CQ54=1,         CC13+(CS28*CG15),      (4*CA67)+(2*CS28*CB67))))</f>
        <v>224.39377777777781</v>
      </c>
      <c r="CS54" s="497">
        <f>IF(CP54=0,   0,   IF(CQ28=1,    IF(H15="Imperial",        CP54*(CF67+(((CD61*(H55-(H45/2))*CD65)/1728)*(H33/100))),      CP54*(CF67+(((CD61*(H55-(H45/2))*CD65)/1000000000)*(H33/100)))),                                                    IF(CQ28=2,            2*CP54*CF67,        (2*CP54*CF67)+(CS28*CP54*CG67))))</f>
        <v>0</v>
      </c>
      <c r="CT54" s="497">
        <f>CR54+CS54</f>
        <v>224.39377777777781</v>
      </c>
      <c r="CU54" s="497"/>
      <c r="CV54" s="495">
        <f>IF(CP28&lt;=CT54,         0,            CP28-CT54)</f>
        <v>45.606222222222186</v>
      </c>
      <c r="CW54" s="135"/>
      <c r="CX54" s="158"/>
      <c r="CY54" s="158"/>
      <c r="CZ54" s="158"/>
      <c r="DA54" s="5"/>
    </row>
    <row r="55" spans="2:117" ht="15" customHeight="1" x14ac:dyDescent="0.25">
      <c r="B55" s="215"/>
      <c r="C55" s="314"/>
      <c r="D55" s="314"/>
      <c r="E55" s="314"/>
      <c r="F55" s="179" t="str">
        <f>IF(H15="Imperial",     "Perimeter stone border size 12 Inches",       "Perimeter stone border size 305mm")</f>
        <v>Perimeter stone border size 12 Inches</v>
      </c>
      <c r="G55" s="91"/>
      <c r="H55" s="570">
        <f>IF(H15="Imperial",    12,    305)</f>
        <v>12</v>
      </c>
      <c r="I55" s="570"/>
      <c r="J55" s="68"/>
      <c r="K55" s="68" t="str">
        <f>IF($H$15="Imperial","in","mm")</f>
        <v>in</v>
      </c>
      <c r="L55" s="69"/>
      <c r="M55" s="214"/>
      <c r="N55" s="231"/>
      <c r="O55" s="231"/>
      <c r="P55" s="231"/>
      <c r="Q55" s="231"/>
      <c r="R55" s="231"/>
      <c r="S55" s="231"/>
      <c r="T55" s="231"/>
      <c r="U55" s="231"/>
      <c r="V55" s="231"/>
      <c r="W55" s="231"/>
      <c r="X55" s="231"/>
      <c r="Y55" s="231"/>
      <c r="Z55" s="231"/>
      <c r="AA55" s="231"/>
      <c r="AB55" s="231"/>
      <c r="AC55" s="231"/>
      <c r="AD55" s="231"/>
      <c r="AE55" s="231"/>
      <c r="AF55" s="231"/>
      <c r="AG55" s="231"/>
      <c r="AH55" s="231"/>
      <c r="AI55" s="231"/>
      <c r="AJ55" s="231"/>
      <c r="AK55" s="69"/>
      <c r="AM55" s="42"/>
      <c r="AN55" s="78" t="s">
        <v>87</v>
      </c>
      <c r="AO55" s="277">
        <f>IF(H37&lt;3,        0,           CN154)</f>
        <v>0</v>
      </c>
      <c r="AP55" s="79" t="str">
        <f>IF(H$15="Imperial",    "ft",       "m")</f>
        <v>ft</v>
      </c>
      <c r="AQ55" s="472" t="s">
        <v>88</v>
      </c>
      <c r="AR55" s="472"/>
      <c r="AS55" s="73"/>
      <c r="AT55" s="73">
        <f>CN150</f>
        <v>0</v>
      </c>
      <c r="AU55" s="73" t="s">
        <v>89</v>
      </c>
      <c r="AV55" s="73"/>
      <c r="AW55" s="73">
        <f>CN151</f>
        <v>0</v>
      </c>
      <c r="AX55" s="73" t="s">
        <v>90</v>
      </c>
      <c r="AY55" s="73"/>
      <c r="AZ55" s="73"/>
      <c r="BA55" s="77"/>
      <c r="BC55" s="461"/>
      <c r="BD55" s="453"/>
      <c r="BE55" s="453"/>
      <c r="BF55" s="453"/>
      <c r="BG55" s="453"/>
      <c r="BH55" s="453"/>
      <c r="BI55" s="453"/>
      <c r="BJ55" s="453"/>
      <c r="BK55" s="453"/>
      <c r="BL55" s="453"/>
      <c r="BM55" s="453"/>
      <c r="BN55" s="453"/>
      <c r="BO55" s="453"/>
      <c r="BP55" s="453"/>
      <c r="BQ55" s="453"/>
      <c r="BR55" s="459"/>
      <c r="BU55" s="18"/>
      <c r="BV55" s="523" t="str">
        <f>IF($H$15="Imperial","Imperial","Metric")</f>
        <v>Imperial</v>
      </c>
      <c r="BW55" s="523"/>
      <c r="BX55" s="288">
        <f>119.76+60.08</f>
        <v>179.84</v>
      </c>
      <c r="BY55" s="288">
        <f>CB67-BZ55</f>
        <v>154.57074074074075</v>
      </c>
      <c r="BZ55" s="288">
        <f>((12*BZ61*BZ63)/1728)*0.4</f>
        <v>14.811111111111112</v>
      </c>
      <c r="CA55" s="288">
        <f>((BY61*(BY63+6)*6)/1728)*0.4</f>
        <v>8.6972222222222229</v>
      </c>
      <c r="CB55" s="288">
        <f>(((H55-4.5)*BY61*BX65)/1728)*0.4</f>
        <v>8.6111111111111125</v>
      </c>
      <c r="CC55" s="288">
        <f>((((H55-4.5)*CD61*CC65))/1728)*0.4</f>
        <v>7.9652777777777777</v>
      </c>
      <c r="CD55" s="288"/>
      <c r="CE55" s="288"/>
      <c r="CF55" s="288">
        <f>CC67+CD67</f>
        <v>153.69351851851854</v>
      </c>
      <c r="CG55" s="114">
        <f>CG47+CG51+BY7</f>
        <v>58.715999999999994</v>
      </c>
      <c r="CJ55" s="526" t="s">
        <v>132</v>
      </c>
      <c r="CK55" s="526"/>
      <c r="CL55" s="526"/>
      <c r="CM55" s="150">
        <f>(CA67*1728)/BY65</f>
        <v>3404.6330434782612</v>
      </c>
      <c r="CN55" s="104"/>
      <c r="CP55" s="497"/>
      <c r="CQ55" s="497"/>
      <c r="CR55" s="497"/>
      <c r="CS55" s="497"/>
      <c r="CT55" s="497"/>
      <c r="CU55" s="497"/>
      <c r="CV55" s="495"/>
      <c r="CW55" s="135"/>
      <c r="CX55" s="158"/>
      <c r="CY55" s="158"/>
      <c r="CZ55" s="158"/>
      <c r="DA55" s="5"/>
    </row>
    <row r="56" spans="2:117" ht="3.75" customHeight="1" x14ac:dyDescent="0.25">
      <c r="B56" s="315"/>
      <c r="C56" s="316"/>
      <c r="D56" s="316"/>
      <c r="E56" s="316"/>
      <c r="F56" s="316"/>
      <c r="G56" s="231"/>
      <c r="H56" s="316"/>
      <c r="I56" s="316"/>
      <c r="J56" s="231"/>
      <c r="K56" s="70"/>
      <c r="L56" s="69"/>
      <c r="M56" s="214"/>
      <c r="N56" s="231"/>
      <c r="O56" s="231"/>
      <c r="P56" s="231"/>
      <c r="Q56" s="231"/>
      <c r="R56" s="231"/>
      <c r="S56" s="231"/>
      <c r="T56" s="231"/>
      <c r="U56" s="231"/>
      <c r="V56" s="231"/>
      <c r="W56" s="231"/>
      <c r="X56" s="231"/>
      <c r="Y56" s="231"/>
      <c r="Z56" s="231"/>
      <c r="AA56" s="232"/>
      <c r="AB56" s="232"/>
      <c r="AC56" s="231"/>
      <c r="AD56" s="231"/>
      <c r="AE56" s="231"/>
      <c r="AF56" s="231"/>
      <c r="AG56" s="231"/>
      <c r="AH56" s="231"/>
      <c r="AI56" s="231"/>
      <c r="AJ56" s="231"/>
      <c r="AK56" s="69"/>
      <c r="AM56" s="42"/>
      <c r="AN56" s="73"/>
      <c r="AO56" s="73"/>
      <c r="AP56" s="79"/>
      <c r="AQ56" s="73"/>
      <c r="AR56" s="74"/>
      <c r="AS56" s="73"/>
      <c r="AT56" s="73"/>
      <c r="AU56" s="73"/>
      <c r="AV56" s="73"/>
      <c r="AW56" s="73"/>
      <c r="AX56" s="73"/>
      <c r="AY56" s="73"/>
      <c r="AZ56" s="73"/>
      <c r="BA56" s="77"/>
      <c r="BC56" s="461"/>
      <c r="BD56" s="453"/>
      <c r="BE56" s="453"/>
      <c r="BF56" s="453"/>
      <c r="BG56" s="453"/>
      <c r="BH56" s="453"/>
      <c r="BI56" s="453"/>
      <c r="BJ56" s="453"/>
      <c r="BK56" s="453"/>
      <c r="BL56" s="453"/>
      <c r="BM56" s="453"/>
      <c r="BN56" s="453"/>
      <c r="BO56" s="453"/>
      <c r="BP56" s="453"/>
      <c r="BQ56" s="453"/>
      <c r="BR56" s="459"/>
      <c r="BU56" s="18"/>
      <c r="BV56" s="288"/>
      <c r="BW56" s="288"/>
      <c r="BX56" s="288"/>
      <c r="BY56" s="288"/>
      <c r="BZ56" s="288"/>
      <c r="CA56" s="288"/>
      <c r="CB56" s="288"/>
      <c r="CC56" s="288"/>
      <c r="CD56" s="288"/>
      <c r="CE56" s="288"/>
      <c r="CF56" s="288"/>
      <c r="CG56" s="288"/>
      <c r="CJ56" s="276"/>
      <c r="CK56" s="151"/>
      <c r="CL56" s="276"/>
      <c r="CM56" s="266"/>
      <c r="CN56" s="16"/>
      <c r="CP56" s="498" t="s">
        <v>133</v>
      </c>
      <c r="CQ56" s="498" t="s">
        <v>134</v>
      </c>
      <c r="CR56" s="288"/>
      <c r="CS56" s="288"/>
      <c r="CT56" s="122"/>
      <c r="CU56" s="122"/>
      <c r="CV56" s="127"/>
      <c r="CW56" s="135"/>
      <c r="CX56" s="158"/>
      <c r="CY56" s="158"/>
      <c r="CZ56" s="158"/>
      <c r="DA56" s="5"/>
    </row>
    <row r="57" spans="2:117" ht="23.25" x14ac:dyDescent="0.25">
      <c r="B57" s="571" t="s">
        <v>135</v>
      </c>
      <c r="C57" s="572"/>
      <c r="D57" s="572"/>
      <c r="E57" s="572"/>
      <c r="F57" s="572"/>
      <c r="G57" s="91"/>
      <c r="H57" s="599" t="s">
        <v>136</v>
      </c>
      <c r="I57" s="599"/>
      <c r="J57" s="68"/>
      <c r="K57" s="68"/>
      <c r="L57" s="71"/>
      <c r="M57" s="215"/>
      <c r="N57" s="68"/>
      <c r="O57" s="68"/>
      <c r="P57" s="68"/>
      <c r="Q57" s="68"/>
      <c r="R57" s="68"/>
      <c r="S57" s="68"/>
      <c r="T57" s="68"/>
      <c r="U57" s="68"/>
      <c r="V57" s="68"/>
      <c r="W57" s="68"/>
      <c r="X57" s="643"/>
      <c r="Y57" s="643"/>
      <c r="Z57" s="643"/>
      <c r="AA57" s="68"/>
      <c r="AB57" s="644"/>
      <c r="AC57" s="644"/>
      <c r="AD57" s="68"/>
      <c r="AE57" s="68"/>
      <c r="AF57" s="68"/>
      <c r="AG57" s="68"/>
      <c r="AH57" s="68"/>
      <c r="AI57" s="68">
        <f>AP37</f>
        <v>0</v>
      </c>
      <c r="AJ57" s="68"/>
      <c r="AK57" s="71"/>
      <c r="AM57" s="42"/>
      <c r="AN57" s="81" t="s">
        <v>93</v>
      </c>
      <c r="AO57" s="174">
        <f>IF(H37&lt;3,            0,            CN155)</f>
        <v>0</v>
      </c>
      <c r="AP57" s="76" t="str">
        <f>IF(H$15="Imperial",    "ft",       "m")</f>
        <v>ft</v>
      </c>
      <c r="AQ57" s="473" t="s">
        <v>137</v>
      </c>
      <c r="AR57" s="473"/>
      <c r="AS57" s="473"/>
      <c r="AT57" s="473"/>
      <c r="AU57" s="473"/>
      <c r="AV57" s="473"/>
      <c r="AW57" s="473"/>
      <c r="AX57" s="473"/>
      <c r="AY57" s="473"/>
      <c r="AZ57" s="473"/>
      <c r="BA57" s="474"/>
      <c r="BC57" s="461"/>
      <c r="BD57" s="453"/>
      <c r="BE57" s="453"/>
      <c r="BF57" s="453"/>
      <c r="BG57" s="453"/>
      <c r="BH57" s="453"/>
      <c r="BI57" s="453"/>
      <c r="BJ57" s="453"/>
      <c r="BK57" s="453"/>
      <c r="BL57" s="453"/>
      <c r="BM57" s="453"/>
      <c r="BN57" s="453"/>
      <c r="BO57" s="453"/>
      <c r="BP57" s="453"/>
      <c r="BQ57" s="453"/>
      <c r="BR57" s="459"/>
      <c r="BU57" s="18"/>
      <c r="BV57" s="518" t="str">
        <f>IF($H$37&lt;2,"All Chamber Layers","Top Chamber Layer")</f>
        <v>All Chamber Layers</v>
      </c>
      <c r="BW57" s="518"/>
      <c r="BX57" s="518" t="s">
        <v>138</v>
      </c>
      <c r="BY57" s="518"/>
      <c r="BZ57" s="518"/>
      <c r="CA57" s="518"/>
      <c r="CB57" s="518"/>
      <c r="CC57" s="518" t="s">
        <v>139</v>
      </c>
      <c r="CD57" s="518"/>
      <c r="CE57" s="518"/>
      <c r="CF57" s="518"/>
      <c r="CG57" s="518"/>
      <c r="CJ57" s="525" t="s">
        <v>140</v>
      </c>
      <c r="CK57" s="525"/>
      <c r="CL57" s="525"/>
      <c r="CM57" s="266">
        <f>(CA67*1728)/BY63</f>
        <v>3297.1183157894743</v>
      </c>
      <c r="CN57" s="16"/>
      <c r="CP57" s="498"/>
      <c r="CQ57" s="498"/>
      <c r="CR57" s="152" t="s">
        <v>141</v>
      </c>
      <c r="CS57" s="263">
        <f>CQ28</f>
        <v>1</v>
      </c>
      <c r="CT57" s="122" t="s">
        <v>142</v>
      </c>
      <c r="CU57" s="122"/>
      <c r="CV57" s="127"/>
      <c r="CW57" s="135"/>
      <c r="CX57" s="158"/>
      <c r="CY57" s="158"/>
      <c r="CZ57" s="158"/>
      <c r="DA57" s="5"/>
    </row>
    <row r="58" spans="2:117" ht="3.75" customHeight="1" x14ac:dyDescent="0.25">
      <c r="B58" s="571"/>
      <c r="C58" s="572"/>
      <c r="D58" s="572"/>
      <c r="E58" s="572"/>
      <c r="F58" s="572"/>
      <c r="G58" s="68"/>
      <c r="H58" s="599"/>
      <c r="I58" s="599"/>
      <c r="J58" s="68"/>
      <c r="K58" s="68"/>
      <c r="L58" s="71"/>
      <c r="M58" s="215"/>
      <c r="N58" s="68"/>
      <c r="O58" s="68"/>
      <c r="P58" s="68"/>
      <c r="Q58" s="68"/>
      <c r="R58" s="68"/>
      <c r="S58" s="68"/>
      <c r="T58" s="68"/>
      <c r="U58" s="68"/>
      <c r="V58" s="68"/>
      <c r="W58" s="68"/>
      <c r="X58" s="68"/>
      <c r="Y58" s="233"/>
      <c r="Z58" s="233"/>
      <c r="AA58" s="68"/>
      <c r="AB58" s="644"/>
      <c r="AC58" s="644"/>
      <c r="AD58" s="68"/>
      <c r="AE58" s="68"/>
      <c r="AF58" s="68"/>
      <c r="AG58" s="68"/>
      <c r="AH58" s="68"/>
      <c r="AI58" s="68"/>
      <c r="AJ58" s="68"/>
      <c r="AK58" s="71"/>
      <c r="AM58" s="42"/>
      <c r="AN58" s="78"/>
      <c r="AO58" s="278"/>
      <c r="AP58" s="79"/>
      <c r="AQ58" s="83"/>
      <c r="AR58" s="73"/>
      <c r="AS58" s="73"/>
      <c r="AT58" s="73"/>
      <c r="AU58" s="73"/>
      <c r="AV58" s="73"/>
      <c r="AW58" s="73"/>
      <c r="AX58" s="73"/>
      <c r="AY58" s="73"/>
      <c r="AZ58" s="73"/>
      <c r="BA58" s="77"/>
      <c r="BC58" s="461"/>
      <c r="BD58" s="453"/>
      <c r="BE58" s="453"/>
      <c r="BF58" s="453"/>
      <c r="BG58" s="453"/>
      <c r="BH58" s="453"/>
      <c r="BI58" s="453"/>
      <c r="BJ58" s="453"/>
      <c r="BK58" s="453"/>
      <c r="BL58" s="453"/>
      <c r="BM58" s="453"/>
      <c r="BN58" s="453"/>
      <c r="BO58" s="453"/>
      <c r="BP58" s="453"/>
      <c r="BQ58" s="453"/>
      <c r="BR58" s="459"/>
      <c r="BU58" s="18"/>
      <c r="BV58" s="126"/>
      <c r="BW58" s="126"/>
      <c r="BX58" s="510" t="s">
        <v>143</v>
      </c>
      <c r="BY58" s="501" t="s">
        <v>144</v>
      </c>
      <c r="BZ58" s="501" t="s">
        <v>145</v>
      </c>
      <c r="CA58" s="501" t="s">
        <v>146</v>
      </c>
      <c r="CB58" s="501" t="s">
        <v>147</v>
      </c>
      <c r="CC58" s="510" t="s">
        <v>143</v>
      </c>
      <c r="CD58" s="501" t="s">
        <v>144</v>
      </c>
      <c r="CE58" s="501" t="s">
        <v>145</v>
      </c>
      <c r="CF58" s="501" t="s">
        <v>146</v>
      </c>
      <c r="CG58" s="501" t="s">
        <v>147</v>
      </c>
      <c r="CJ58" s="276"/>
      <c r="CK58" s="151"/>
      <c r="CL58" s="276"/>
      <c r="CM58" s="266"/>
      <c r="CN58" s="16"/>
      <c r="CP58" s="498"/>
      <c r="CQ58" s="498"/>
      <c r="CR58" s="288"/>
      <c r="CS58" s="288"/>
      <c r="CT58" s="122"/>
      <c r="CU58" s="122"/>
      <c r="CV58" s="127"/>
      <c r="CW58" s="135"/>
      <c r="CX58" s="158"/>
      <c r="CY58" s="158"/>
      <c r="CZ58" s="158"/>
      <c r="DA58" s="5"/>
    </row>
    <row r="59" spans="2:117" ht="23.25" x14ac:dyDescent="0.3">
      <c r="B59" s="571"/>
      <c r="C59" s="572"/>
      <c r="D59" s="572"/>
      <c r="E59" s="572"/>
      <c r="F59" s="572"/>
      <c r="G59" s="68"/>
      <c r="H59" s="599"/>
      <c r="I59" s="599"/>
      <c r="J59" s="68"/>
      <c r="K59" s="68"/>
      <c r="L59" s="71"/>
      <c r="M59" s="215"/>
      <c r="N59" s="68"/>
      <c r="O59" s="68"/>
      <c r="P59" s="68"/>
      <c r="Q59" s="645"/>
      <c r="R59" s="645"/>
      <c r="S59" s="645"/>
      <c r="T59" s="645"/>
      <c r="U59" s="645"/>
      <c r="V59" s="645"/>
      <c r="W59" s="234"/>
      <c r="X59" s="68"/>
      <c r="Y59" s="233"/>
      <c r="Z59" s="235"/>
      <c r="AA59" s="68"/>
      <c r="AB59" s="644"/>
      <c r="AC59" s="644"/>
      <c r="AD59" s="68"/>
      <c r="AE59" s="68"/>
      <c r="AF59" s="68"/>
      <c r="AG59" s="68"/>
      <c r="AH59" s="68"/>
      <c r="AI59" s="68"/>
      <c r="AJ59" s="68"/>
      <c r="AK59" s="71"/>
      <c r="AM59" s="53"/>
      <c r="AN59" s="82" t="s">
        <v>95</v>
      </c>
      <c r="AO59" s="96">
        <f>IF(H37&lt;3,              0,           IF(H37=3,    IF(H15="Imperial",     (BX89+H29+(H39/2))/12,            (BX89+H29+(H39/2))/1000),            IF(H15="Imperial",      (BX89+H39)/12,       (BX89+H39)/1000)))</f>
        <v>0</v>
      </c>
      <c r="AP59" s="86" t="str">
        <f>IF(H$15="Imperial",    "ft",       "m")</f>
        <v>ft</v>
      </c>
      <c r="AQ59" s="476" t="s">
        <v>96</v>
      </c>
      <c r="AR59" s="476"/>
      <c r="AS59" s="476"/>
      <c r="AT59" s="476"/>
      <c r="AU59" s="582">
        <f>CN153</f>
        <v>0</v>
      </c>
      <c r="AV59" s="582"/>
      <c r="AW59" s="582"/>
      <c r="AX59" s="87" t="str">
        <f>IF(H15="Imperial",        "Cubic Feet",        "Cubic Meters")</f>
        <v>Cubic Feet</v>
      </c>
      <c r="AY59" s="87"/>
      <c r="AZ59" s="87"/>
      <c r="BA59" s="77"/>
      <c r="BC59" s="461"/>
      <c r="BD59" s="453"/>
      <c r="BE59" s="453"/>
      <c r="BF59" s="453"/>
      <c r="BG59" s="453"/>
      <c r="BH59" s="453"/>
      <c r="BI59" s="453"/>
      <c r="BJ59" s="453"/>
      <c r="BK59" s="453"/>
      <c r="BL59" s="453"/>
      <c r="BM59" s="453"/>
      <c r="BN59" s="453"/>
      <c r="BO59" s="453"/>
      <c r="BP59" s="453"/>
      <c r="BQ59" s="453"/>
      <c r="BR59" s="459"/>
      <c r="BU59" s="18"/>
      <c r="BV59" s="458" t="str">
        <f>$H$19</f>
        <v>SC-44</v>
      </c>
      <c r="BW59" s="127"/>
      <c r="BX59" s="510"/>
      <c r="BY59" s="501"/>
      <c r="BZ59" s="501"/>
      <c r="CA59" s="501"/>
      <c r="CB59" s="501"/>
      <c r="CC59" s="510"/>
      <c r="CD59" s="501"/>
      <c r="CE59" s="501"/>
      <c r="CF59" s="501"/>
      <c r="CG59" s="501"/>
      <c r="CJ59" s="526" t="s">
        <v>148</v>
      </c>
      <c r="CK59" s="526"/>
      <c r="CL59" s="526"/>
      <c r="CM59" s="272">
        <f>(CB67*1728)/BZ65</f>
        <v>3181.4330434782605</v>
      </c>
      <c r="CN59" s="95"/>
      <c r="CP59" s="498"/>
      <c r="CQ59" s="498"/>
      <c r="CR59" s="152" t="s">
        <v>149</v>
      </c>
      <c r="CS59" s="263">
        <f>CP60+CQ60</f>
        <v>1</v>
      </c>
      <c r="CT59" s="122" t="s">
        <v>150</v>
      </c>
      <c r="CU59" s="122"/>
      <c r="CV59" s="127"/>
      <c r="CW59" s="135"/>
      <c r="CX59" s="158"/>
      <c r="CY59" s="158"/>
      <c r="CZ59" s="158"/>
      <c r="DA59" s="5"/>
    </row>
    <row r="60" spans="2:117" ht="3.75" customHeight="1" x14ac:dyDescent="0.25">
      <c r="B60" s="24"/>
      <c r="C60" s="23"/>
      <c r="D60" s="23"/>
      <c r="E60" s="23"/>
      <c r="F60" s="23"/>
      <c r="G60" s="23"/>
      <c r="H60" s="178"/>
      <c r="I60" s="178"/>
      <c r="J60" s="23"/>
      <c r="K60" s="23"/>
      <c r="L60" s="33"/>
      <c r="M60" s="42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6"/>
      <c r="Z60" s="236"/>
      <c r="AA60" s="23"/>
      <c r="AB60" s="644"/>
      <c r="AC60" s="644"/>
      <c r="AD60" s="23"/>
      <c r="AE60" s="23"/>
      <c r="AF60" s="23"/>
      <c r="AG60" s="23"/>
      <c r="AH60" s="23"/>
      <c r="AI60" s="23"/>
      <c r="AJ60" s="23"/>
      <c r="AK60" s="33"/>
      <c r="AM60" s="42"/>
      <c r="AN60" s="73"/>
      <c r="AO60" s="73"/>
      <c r="AP60" s="73"/>
      <c r="AQ60" s="73"/>
      <c r="AR60" s="73"/>
      <c r="AS60" s="73"/>
      <c r="AT60" s="73"/>
      <c r="AU60" s="73"/>
      <c r="AV60" s="73"/>
      <c r="AW60" s="73"/>
      <c r="AX60" s="73"/>
      <c r="AY60" s="73"/>
      <c r="AZ60" s="73"/>
      <c r="BA60" s="77"/>
      <c r="BC60" s="461"/>
      <c r="BD60" s="453"/>
      <c r="BE60" s="453"/>
      <c r="BF60" s="453"/>
      <c r="BG60" s="453"/>
      <c r="BH60" s="453"/>
      <c r="BI60" s="453"/>
      <c r="BJ60" s="453"/>
      <c r="BK60" s="453"/>
      <c r="BL60" s="453"/>
      <c r="BM60" s="453"/>
      <c r="BN60" s="453"/>
      <c r="BO60" s="453"/>
      <c r="BP60" s="453"/>
      <c r="BQ60" s="453"/>
      <c r="BR60" s="459"/>
      <c r="BU60" s="18"/>
      <c r="BV60" s="458"/>
      <c r="BW60" s="127"/>
      <c r="BX60" s="510"/>
      <c r="BY60" s="501"/>
      <c r="BZ60" s="501"/>
      <c r="CA60" s="501"/>
      <c r="CB60" s="501"/>
      <c r="CC60" s="510"/>
      <c r="CD60" s="501"/>
      <c r="CE60" s="501"/>
      <c r="CF60" s="501"/>
      <c r="CG60" s="501"/>
      <c r="CH60" s="95"/>
      <c r="CI60" s="18"/>
      <c r="CJ60" s="276"/>
      <c r="CK60" s="151"/>
      <c r="CL60" s="276"/>
      <c r="CM60" s="266"/>
      <c r="CN60" s="16"/>
      <c r="CP60" s="497">
        <f>IF(CV54=0,           0,          IF(CU34&lt;=2,          IF(H15="Imperial",                         IF(CV54&lt;=(CA67+(((BY61*(H55-(H45/2))*BY65)/1728)*(H33/100))-(((BY7+BY9)-CA67)+(((BY61*(BX63+H55+H55-(H45/2))*H55)/1728)*(H33/100))+(((BY61*(H55-(H45/2))*(BY5-BX65))/1728)*(H33/100)))),    1,   2),                                                                IF(CV54&lt;=(CA67+(((BY61*(H55-(H45/2))*BY65)/1000000000)*(H33/100))-(((BY7+BY9)-CA67)+(((BY61*(BX63+H55+H55-(H45/2))*H55)/1000000000)*(H33/100))+(((BY61*(H55-(H45/2))*(BY5-BX65))/1000000000)*(H33/100)))),    1,   2)),                             IF(H15="Imperial",                                                               IF(CV54&lt;=(CF67+(((CD61*(H55-(H45/2))*CD65)/1728)*(H33/100))),                   1,        2),                  IF(CV54&lt;=(CF67+(((CD61*(H55-(H45/2))*CD65)/1000000000)*(H33/100))),         1,           2))))</f>
        <v>1</v>
      </c>
      <c r="CQ60" s="497">
        <f>IF(CV54=0,        0,                 IF(CU34&lt;=2,          IF(H15="Imperial",           IF(CV54&lt;=(2*(CA67-((BY7+BY9)-CA67)-(((BY61*BY63*H55)/1728)*(H33/100)))),        0,                                                                               ROUNDUP((CV54-(2*(CA67-((BY7+BY9)-CA67)-(((BY61*BY63*H55)/1728)*(H33/100)))))/(CB67-((BY7+CG7)-CB67)-(((BZ61*BZ63*H55)/1728)*(H33/100))),0)),                                                                                                                                                                   IF(CV54&lt;=(2*(CA67-((BY7+BY9)-CA67)-(((BY61*BY63*H55)/1000000000)*(H33/100)))),      0,          ROUNDUP((CV54-(2*(CA67-((BY7+BY9)-CA67)-(((BY61*BY63*H55)/1000000000)*(H33/100)))))/(CB67-((BY7+CG7)-CB67)-(((BZ61*BZ63*H55)/1000000000)*(H33/100))),0))),             IF(CV54&lt;=(2*CF67),      0,           ROUNDUP((CV54-(2*CF67))/CG67,0))      ))</f>
        <v>0</v>
      </c>
      <c r="CR60" s="152"/>
      <c r="CS60" s="263"/>
      <c r="CT60" s="122"/>
      <c r="CU60" s="122"/>
      <c r="CV60" s="127"/>
      <c r="CW60" s="135"/>
      <c r="CX60" s="158"/>
      <c r="CY60" s="158"/>
      <c r="CZ60" s="158"/>
      <c r="DA60" s="5"/>
    </row>
    <row r="61" spans="2:117" ht="15.75" customHeight="1" x14ac:dyDescent="0.25">
      <c r="B61" s="614" t="s">
        <v>151</v>
      </c>
      <c r="C61" s="615"/>
      <c r="D61" s="615"/>
      <c r="E61" s="615"/>
      <c r="F61" s="615"/>
      <c r="G61" s="615"/>
      <c r="H61" s="615"/>
      <c r="I61" s="615"/>
      <c r="J61" s="54"/>
      <c r="K61" s="54"/>
      <c r="L61" s="55"/>
      <c r="M61" s="56"/>
      <c r="N61" s="23"/>
      <c r="O61" s="23"/>
      <c r="P61" s="66">
        <f>H31</f>
        <v>22</v>
      </c>
      <c r="Q61" s="189" t="str">
        <f>IF(H15="Imperial",    "Inches",  "mm")</f>
        <v>Inches</v>
      </c>
      <c r="R61" s="646"/>
      <c r="S61" s="646"/>
      <c r="T61" s="646"/>
      <c r="U61" s="646"/>
      <c r="V61" s="646"/>
      <c r="W61" s="54"/>
      <c r="X61" s="54"/>
      <c r="Y61" s="237"/>
      <c r="Z61" s="235"/>
      <c r="AA61" s="23"/>
      <c r="AB61" s="238"/>
      <c r="AC61" s="216"/>
      <c r="AD61" s="54"/>
      <c r="AE61" s="54"/>
      <c r="AF61" s="54"/>
      <c r="AG61" s="54"/>
      <c r="AH61" s="54"/>
      <c r="AI61" s="54"/>
      <c r="AJ61" s="54"/>
      <c r="AK61" s="55"/>
      <c r="AM61" s="42"/>
      <c r="AN61" s="73"/>
      <c r="AO61" s="73"/>
      <c r="AP61" s="73"/>
      <c r="AQ61" s="478" t="s">
        <v>152</v>
      </c>
      <c r="AR61" s="478"/>
      <c r="AS61" s="478"/>
      <c r="AT61" s="478"/>
      <c r="AU61" s="479">
        <f>(AT55*AW55)</f>
        <v>0</v>
      </c>
      <c r="AV61" s="479"/>
      <c r="AW61" s="479"/>
      <c r="AX61" s="73"/>
      <c r="AY61" s="73"/>
      <c r="AZ61" s="73"/>
      <c r="BA61" s="77"/>
      <c r="BC61" s="461"/>
      <c r="BD61" s="453"/>
      <c r="BE61" s="453"/>
      <c r="BF61" s="453"/>
      <c r="BG61" s="453"/>
      <c r="BH61" s="453"/>
      <c r="BI61" s="453"/>
      <c r="BJ61" s="453"/>
      <c r="BK61" s="453"/>
      <c r="BL61" s="453"/>
      <c r="BM61" s="453"/>
      <c r="BN61" s="453"/>
      <c r="BO61" s="453"/>
      <c r="BP61" s="453"/>
      <c r="BQ61" s="453"/>
      <c r="BR61" s="459"/>
      <c r="BU61" s="18"/>
      <c r="BV61" s="458"/>
      <c r="BW61" s="127" t="str">
        <f>IF($H$15="Imperial","Height (in)","Height (mm)")</f>
        <v>Height (in)</v>
      </c>
      <c r="BX61" s="350">
        <f>SUMIFS($BY$166:$BY$199,$BW$166:$BW$199,$H$19,$BX$166:$BX$199,$BW61)</f>
        <v>41</v>
      </c>
      <c r="BY61" s="127">
        <f>IF($H$37=1,          BX61+$H$29+$H$27,           BX61+$H$27+($H$39/2))</f>
        <v>62</v>
      </c>
      <c r="BZ61" s="127">
        <f>IF($H$37=1,         BX61+$H$29+$H$27,           BX61+$H$27+($H$39/2))</f>
        <v>62</v>
      </c>
      <c r="CA61" s="127"/>
      <c r="CB61" s="127"/>
      <c r="CC61" s="350">
        <f>SUMIFS($BZ$166:$BZ$199,$BW$166:$BW$199,$H$19,$BX$166:$BX$199,$BW61)</f>
        <v>41</v>
      </c>
      <c r="CD61" s="127">
        <f>IF($H$37=1,       CC61+$H$29+$H$27,           CC61+$H$27+($H$39/2))</f>
        <v>62</v>
      </c>
      <c r="CE61" s="127">
        <f>IF($H$37=1,           CC61+$H$29+$H$27,         CC61+H27+($H$39/2))</f>
        <v>62</v>
      </c>
      <c r="CF61" s="128"/>
      <c r="CG61" s="127"/>
      <c r="CH61" s="18"/>
      <c r="CI61" s="18"/>
      <c r="CJ61" s="525" t="s">
        <v>153</v>
      </c>
      <c r="CK61" s="525"/>
      <c r="CL61" s="525"/>
      <c r="CM61" s="266">
        <f>(CB67*1728)/BZ63</f>
        <v>3403.3934883720926</v>
      </c>
      <c r="CN61" s="16"/>
      <c r="CP61" s="497"/>
      <c r="CQ61" s="497"/>
      <c r="CR61" s="152" t="s">
        <v>154</v>
      </c>
      <c r="CS61" s="263">
        <f>IF(CV54=0,              0,         CS57-CS59)</f>
        <v>0</v>
      </c>
      <c r="CT61" s="288"/>
      <c r="CU61" s="288">
        <f>CV54-(2*(CF67+(((6*CD61*CD65)/1728)*(H33/100))))</f>
        <v>-274.52525925925937</v>
      </c>
      <c r="CV61" s="127"/>
      <c r="CW61" s="135"/>
      <c r="CX61" s="158"/>
      <c r="CY61" s="158"/>
      <c r="CZ61" s="158"/>
      <c r="DA61" s="5"/>
    </row>
    <row r="62" spans="2:117" ht="3.75" customHeight="1" x14ac:dyDescent="0.25">
      <c r="B62" s="614"/>
      <c r="C62" s="615"/>
      <c r="D62" s="615"/>
      <c r="E62" s="615"/>
      <c r="F62" s="615"/>
      <c r="G62" s="615"/>
      <c r="H62" s="615"/>
      <c r="I62" s="615"/>
      <c r="J62" s="54"/>
      <c r="K62" s="54"/>
      <c r="L62" s="55"/>
      <c r="M62" s="56"/>
      <c r="N62" s="54"/>
      <c r="O62" s="54"/>
      <c r="P62" s="54"/>
      <c r="Q62" s="54"/>
      <c r="R62" s="54"/>
      <c r="S62" s="54"/>
      <c r="T62" s="54"/>
      <c r="U62" s="54"/>
      <c r="V62" s="54"/>
      <c r="W62" s="54"/>
      <c r="X62" s="54"/>
      <c r="Y62" s="237"/>
      <c r="Z62" s="237"/>
      <c r="AA62" s="54"/>
      <c r="AB62" s="258"/>
      <c r="AC62" s="258"/>
      <c r="AD62" s="54"/>
      <c r="AE62" s="54"/>
      <c r="AF62" s="54"/>
      <c r="AG62" s="54"/>
      <c r="AH62" s="54"/>
      <c r="AI62" s="54"/>
      <c r="AJ62" s="54"/>
      <c r="AK62" s="55"/>
      <c r="AM62" s="42"/>
      <c r="AN62" s="73"/>
      <c r="AO62" s="73"/>
      <c r="AP62" s="73"/>
      <c r="AQ62" s="79"/>
      <c r="AR62" s="79"/>
      <c r="AS62" s="79"/>
      <c r="AT62" s="79"/>
      <c r="AU62" s="278"/>
      <c r="AV62" s="278"/>
      <c r="AW62" s="278"/>
      <c r="AX62" s="73"/>
      <c r="AY62" s="73"/>
      <c r="AZ62" s="73"/>
      <c r="BA62" s="77"/>
      <c r="BC62" s="461"/>
      <c r="BD62" s="453"/>
      <c r="BE62" s="453"/>
      <c r="BF62" s="453"/>
      <c r="BG62" s="453"/>
      <c r="BH62" s="453"/>
      <c r="BI62" s="453"/>
      <c r="BJ62" s="453"/>
      <c r="BK62" s="453"/>
      <c r="BL62" s="453"/>
      <c r="BM62" s="453"/>
      <c r="BN62" s="453"/>
      <c r="BO62" s="453"/>
      <c r="BP62" s="453"/>
      <c r="BQ62" s="453"/>
      <c r="BR62" s="459"/>
      <c r="BV62" s="458"/>
      <c r="BW62" s="127"/>
      <c r="BX62" s="127"/>
      <c r="BY62" s="127"/>
      <c r="BZ62" s="127"/>
      <c r="CA62" s="127"/>
      <c r="CB62" s="127"/>
      <c r="CC62" s="127"/>
      <c r="CD62" s="127"/>
      <c r="CE62" s="127"/>
      <c r="CF62" s="128"/>
      <c r="CG62" s="127"/>
      <c r="CJ62" s="152"/>
      <c r="CK62" s="152"/>
      <c r="CL62" s="152"/>
      <c r="CM62" s="266"/>
      <c r="CN62" s="16"/>
      <c r="CP62" s="135"/>
      <c r="CQ62" s="135"/>
      <c r="CR62" s="152"/>
      <c r="CS62" s="263"/>
      <c r="CT62" s="122"/>
      <c r="CU62" s="122"/>
      <c r="CV62" s="127"/>
      <c r="CW62" s="135"/>
      <c r="CX62" s="158"/>
      <c r="CY62" s="158"/>
      <c r="CZ62" s="158"/>
      <c r="DA62" s="5"/>
    </row>
    <row r="63" spans="2:117" ht="23.25" x14ac:dyDescent="0.25">
      <c r="B63" s="614"/>
      <c r="C63" s="615"/>
      <c r="D63" s="615"/>
      <c r="E63" s="615"/>
      <c r="F63" s="615"/>
      <c r="G63" s="615"/>
      <c r="H63" s="615"/>
      <c r="I63" s="615"/>
      <c r="J63" s="54"/>
      <c r="K63" s="54"/>
      <c r="L63" s="55"/>
      <c r="M63" s="56"/>
      <c r="N63" s="54"/>
      <c r="O63" s="54"/>
      <c r="P63" s="54"/>
      <c r="Q63" s="54"/>
      <c r="R63" s="54"/>
      <c r="S63" s="646"/>
      <c r="T63" s="646"/>
      <c r="U63" s="646"/>
      <c r="V63" s="646"/>
      <c r="W63" s="54"/>
      <c r="X63" s="54"/>
      <c r="Y63" s="237"/>
      <c r="Z63" s="235"/>
      <c r="AA63" s="54"/>
      <c r="AB63" s="644"/>
      <c r="AC63" s="644"/>
      <c r="AD63" s="54"/>
      <c r="AE63" s="54"/>
      <c r="AF63" s="54"/>
      <c r="AG63" s="54"/>
      <c r="AH63" s="54"/>
      <c r="AI63" s="54"/>
      <c r="AJ63" s="54"/>
      <c r="AK63" s="55"/>
      <c r="AM63" s="42"/>
      <c r="AN63" s="84"/>
      <c r="AO63" s="84"/>
      <c r="AP63" s="84"/>
      <c r="AQ63" s="84"/>
      <c r="AR63" s="85"/>
      <c r="AS63" s="84"/>
      <c r="AT63" s="84"/>
      <c r="AU63" s="84"/>
      <c r="AV63" s="84"/>
      <c r="AW63" s="84"/>
      <c r="AX63" s="84"/>
      <c r="AY63" s="84"/>
      <c r="AZ63" s="84"/>
      <c r="BA63" s="77"/>
      <c r="BC63" s="461"/>
      <c r="BD63" s="453"/>
      <c r="BE63" s="453"/>
      <c r="BF63" s="453"/>
      <c r="BG63" s="453"/>
      <c r="BH63" s="453"/>
      <c r="BI63" s="453"/>
      <c r="BJ63" s="453"/>
      <c r="BK63" s="453"/>
      <c r="BL63" s="453"/>
      <c r="BM63" s="453"/>
      <c r="BN63" s="453"/>
      <c r="BO63" s="453"/>
      <c r="BP63" s="453"/>
      <c r="BQ63" s="453"/>
      <c r="BR63" s="459"/>
      <c r="BV63" s="458"/>
      <c r="BW63" s="127" t="str">
        <f>IF($H$15="Imperial","Width (in)","Width (mm)")</f>
        <v>Width (in)</v>
      </c>
      <c r="BX63" s="350">
        <f>SUMIFS($BY$166:$BY$199,$BW$166:$BW$199,$H$19,$BX$166:$BX$199,$BW63)</f>
        <v>80</v>
      </c>
      <c r="BY63" s="127">
        <f>IF(H15="Imperial",           BX63+($H$45/2)+H55,                 BX63+($H$45/2)+H55)</f>
        <v>95</v>
      </c>
      <c r="BZ63" s="127">
        <f>BX63+$H$45</f>
        <v>86</v>
      </c>
      <c r="CA63" s="127"/>
      <c r="CB63" s="127"/>
      <c r="CC63" s="350">
        <f>SUMIFS($BZ$166:$BZ$199,$BW$166:$BW$199,$H$19,$BX$166:$BX$199,$BW63)</f>
        <v>80</v>
      </c>
      <c r="CD63" s="127">
        <f>IF(H15="Imperial",                 CC63+($H$45/2)+(H55),                 CC63+($H$45/2)+(H55))</f>
        <v>95</v>
      </c>
      <c r="CE63" s="127">
        <f>CC63+$H$45</f>
        <v>86</v>
      </c>
      <c r="CF63" s="128"/>
      <c r="CG63" s="127"/>
      <c r="CJ63" s="152"/>
      <c r="CK63" s="152"/>
      <c r="CL63" s="152"/>
      <c r="CM63" s="272"/>
      <c r="CN63" s="95"/>
      <c r="CP63" s="132"/>
      <c r="CQ63" s="132"/>
      <c r="CR63" s="152" t="s">
        <v>155</v>
      </c>
      <c r="CS63" s="263">
        <f>IF(CS57=CS59,       0,         IF(CV54=0,       0,     CQ54))</f>
        <v>0</v>
      </c>
      <c r="CT63" s="122"/>
      <c r="CU63" s="122">
        <f>CU61/CG67</f>
        <v>-1.904637364613982</v>
      </c>
      <c r="CV63" s="127"/>
      <c r="CW63" s="135"/>
      <c r="CX63" s="158"/>
      <c r="CY63" s="158"/>
      <c r="CZ63" s="158"/>
      <c r="DA63" s="5"/>
    </row>
    <row r="64" spans="2:117" ht="3.75" customHeight="1" x14ac:dyDescent="0.25">
      <c r="B64" s="56"/>
      <c r="C64" s="23"/>
      <c r="D64" s="23"/>
      <c r="E64" s="23"/>
      <c r="F64" s="23"/>
      <c r="G64" s="23"/>
      <c r="H64" s="178"/>
      <c r="I64" s="178"/>
      <c r="J64" s="23"/>
      <c r="K64" s="23"/>
      <c r="L64" s="33"/>
      <c r="M64" s="42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6"/>
      <c r="Z64" s="236"/>
      <c r="AA64" s="23"/>
      <c r="AB64" s="295"/>
      <c r="AC64" s="295"/>
      <c r="AD64" s="23"/>
      <c r="AE64" s="23"/>
      <c r="AF64" s="23"/>
      <c r="AG64" s="23"/>
      <c r="AH64" s="23"/>
      <c r="AI64" s="23"/>
      <c r="AJ64" s="23"/>
      <c r="AK64" s="33"/>
      <c r="AM64" s="42"/>
      <c r="AN64" s="73"/>
      <c r="AO64" s="73"/>
      <c r="AP64" s="73"/>
      <c r="AQ64" s="73"/>
      <c r="AR64" s="73"/>
      <c r="AS64" s="73"/>
      <c r="AT64" s="73"/>
      <c r="AU64" s="73"/>
      <c r="AV64" s="73"/>
      <c r="AW64" s="73"/>
      <c r="AX64" s="73"/>
      <c r="AY64" s="73"/>
      <c r="AZ64" s="73"/>
      <c r="BA64" s="77"/>
      <c r="BC64" s="461"/>
      <c r="BD64" s="453"/>
      <c r="BE64" s="453"/>
      <c r="BF64" s="453"/>
      <c r="BG64" s="453"/>
      <c r="BH64" s="453"/>
      <c r="BI64" s="453"/>
      <c r="BJ64" s="453"/>
      <c r="BK64" s="453"/>
      <c r="BL64" s="453"/>
      <c r="BM64" s="453"/>
      <c r="BN64" s="453"/>
      <c r="BO64" s="453"/>
      <c r="BP64" s="453"/>
      <c r="BQ64" s="453"/>
      <c r="BR64" s="459"/>
      <c r="BV64" s="458"/>
      <c r="BW64" s="127"/>
      <c r="BX64" s="127"/>
      <c r="BY64" s="127"/>
      <c r="BZ64" s="127"/>
      <c r="CA64" s="127"/>
      <c r="CB64" s="127"/>
      <c r="CC64" s="127"/>
      <c r="CD64" s="127"/>
      <c r="CE64" s="127"/>
      <c r="CF64" s="128"/>
      <c r="CG64" s="127"/>
      <c r="CJ64" s="276"/>
      <c r="CK64" s="151"/>
      <c r="CL64" s="276"/>
      <c r="CM64" s="266"/>
      <c r="CN64" s="16"/>
      <c r="CP64" s="132"/>
      <c r="CQ64" s="132"/>
      <c r="CR64" s="152"/>
      <c r="CS64" s="263"/>
      <c r="CT64" s="122"/>
      <c r="CU64" s="122"/>
      <c r="CV64" s="127"/>
      <c r="CW64" s="135"/>
      <c r="CX64" s="158"/>
      <c r="CY64" s="158"/>
      <c r="CZ64" s="158"/>
      <c r="DA64" s="5"/>
    </row>
    <row r="65" spans="2:126" ht="23.25" x14ac:dyDescent="0.3">
      <c r="B65" s="56"/>
      <c r="C65" s="448" t="str">
        <f>IF($H$23="Width",IF(H25&lt;AU79,"The Width of this system exceeds the Design Constrain. Consider reducing the number of Rows or changing the Constraint.",""),IF(H25&lt;AU77,"The Length of this system exceeds the Design Constraint. Consider increasing the number of rows or changing the constraint.",""))</f>
        <v/>
      </c>
      <c r="D65" s="448"/>
      <c r="E65" s="448"/>
      <c r="F65" s="448"/>
      <c r="G65" s="448"/>
      <c r="H65" s="448"/>
      <c r="I65" s="203"/>
      <c r="J65" s="183"/>
      <c r="K65" s="183"/>
      <c r="L65" s="184"/>
      <c r="M65" s="182"/>
      <c r="N65" s="183"/>
      <c r="O65" s="183"/>
      <c r="P65" s="183"/>
      <c r="Q65" s="183"/>
      <c r="R65" s="183"/>
      <c r="S65" s="646"/>
      <c r="T65" s="646"/>
      <c r="U65" s="646"/>
      <c r="V65" s="646"/>
      <c r="W65" s="183"/>
      <c r="X65" s="183"/>
      <c r="Y65" s="239"/>
      <c r="Z65" s="235"/>
      <c r="AA65" s="183"/>
      <c r="AB65" s="644"/>
      <c r="AC65" s="644"/>
      <c r="AD65" s="183"/>
      <c r="AE65" s="183"/>
      <c r="AF65" s="183"/>
      <c r="AG65" s="183"/>
      <c r="AH65" s="183"/>
      <c r="AI65" s="183"/>
      <c r="AJ65" s="183"/>
      <c r="AK65" s="184"/>
      <c r="AM65" s="42"/>
      <c r="AN65" s="471" t="str">
        <f>IF(H37&lt;4,            "NO LAYER",                "1st LAYER (bottom)")</f>
        <v>NO LAYER</v>
      </c>
      <c r="AO65" s="471"/>
      <c r="AP65" s="471"/>
      <c r="AQ65" s="471"/>
      <c r="AR65" s="471"/>
      <c r="AS65" s="73"/>
      <c r="AT65" s="73"/>
      <c r="AU65" s="73"/>
      <c r="AV65" s="73"/>
      <c r="AW65" s="73"/>
      <c r="AX65" s="73"/>
      <c r="AY65" s="73"/>
      <c r="AZ65" s="73"/>
      <c r="BA65" s="77"/>
      <c r="BC65" s="461"/>
      <c r="BD65" s="453"/>
      <c r="BE65" s="453"/>
      <c r="BF65" s="453"/>
      <c r="BG65" s="453"/>
      <c r="BH65" s="453"/>
      <c r="BI65" s="453"/>
      <c r="BJ65" s="453"/>
      <c r="BK65" s="453"/>
      <c r="BL65" s="453"/>
      <c r="BM65" s="453"/>
      <c r="BN65" s="453"/>
      <c r="BO65" s="453"/>
      <c r="BP65" s="453"/>
      <c r="BQ65" s="453"/>
      <c r="BR65" s="459"/>
      <c r="BU65" s="18"/>
      <c r="BV65" s="458"/>
      <c r="BW65" s="127" t="str">
        <f>IF($H$15="Imperial","Installed Length (in)","Installed Length (mm)")</f>
        <v>Installed Length (in)</v>
      </c>
      <c r="BX65" s="350">
        <f>SUMIFS($BY$166:$BY$199,$BW$166:$BW$199,$H$19,$BX$166:$BX$199,$BW65)</f>
        <v>80</v>
      </c>
      <c r="BY65" s="127">
        <f>BX65+H55</f>
        <v>92</v>
      </c>
      <c r="BZ65" s="127">
        <f>BX65+H55</f>
        <v>92</v>
      </c>
      <c r="CA65" s="127"/>
      <c r="CB65" s="127"/>
      <c r="CC65" s="350">
        <f>SUMIFS($BZ$166:$BZ$199,$BW$166:$BW$199,$H$19,$BX$166:$BX$199,$BW65)</f>
        <v>74</v>
      </c>
      <c r="CD65" s="127">
        <f>CC65</f>
        <v>74</v>
      </c>
      <c r="CE65" s="127">
        <f>CC65</f>
        <v>74</v>
      </c>
      <c r="CF65" s="128"/>
      <c r="CG65" s="127"/>
      <c r="CJ65" s="525" t="s">
        <v>156</v>
      </c>
      <c r="CK65" s="525"/>
      <c r="CL65" s="525"/>
      <c r="CM65" s="266">
        <f>(CF67*1728)/CD65</f>
        <v>3588.9513513513516</v>
      </c>
      <c r="CN65" s="16"/>
      <c r="CP65" s="132"/>
      <c r="CQ65" s="132"/>
      <c r="CR65" s="152" t="s">
        <v>157</v>
      </c>
      <c r="CS65" s="263">
        <f>IF(CV54=0,          CQ54,        CU34)</f>
        <v>2</v>
      </c>
      <c r="CT65" s="122"/>
      <c r="CU65" s="122"/>
      <c r="CV65" s="127"/>
      <c r="CW65" s="135"/>
      <c r="CX65" s="158"/>
      <c r="CY65" s="158"/>
      <c r="CZ65" s="158"/>
      <c r="DA65" s="5"/>
    </row>
    <row r="66" spans="2:126" ht="3.75" customHeight="1" x14ac:dyDescent="0.25">
      <c r="B66" s="56"/>
      <c r="C66" s="448"/>
      <c r="D66" s="448"/>
      <c r="E66" s="448"/>
      <c r="F66" s="448"/>
      <c r="G66" s="448"/>
      <c r="H66" s="448"/>
      <c r="I66" s="203"/>
      <c r="J66" s="183"/>
      <c r="K66" s="183"/>
      <c r="L66" s="184"/>
      <c r="M66" s="182"/>
      <c r="N66" s="183"/>
      <c r="O66" s="183"/>
      <c r="P66" s="183"/>
      <c r="Q66" s="183"/>
      <c r="R66" s="183"/>
      <c r="S66" s="183"/>
      <c r="T66" s="183"/>
      <c r="U66" s="183"/>
      <c r="V66" s="183"/>
      <c r="W66" s="183"/>
      <c r="X66" s="183"/>
      <c r="Y66" s="239"/>
      <c r="Z66" s="239"/>
      <c r="AA66" s="183"/>
      <c r="AB66" s="183"/>
      <c r="AC66" s="183"/>
      <c r="AD66" s="183"/>
      <c r="AE66" s="183"/>
      <c r="AF66" s="183"/>
      <c r="AG66" s="183"/>
      <c r="AH66" s="183"/>
      <c r="AI66" s="183"/>
      <c r="AJ66" s="183"/>
      <c r="AK66" s="184"/>
      <c r="AM66" s="42"/>
      <c r="AN66" s="73"/>
      <c r="AO66" s="73"/>
      <c r="AP66" s="73"/>
      <c r="AQ66" s="73"/>
      <c r="AR66" s="73"/>
      <c r="AS66" s="73"/>
      <c r="AT66" s="73"/>
      <c r="AU66" s="73"/>
      <c r="AV66" s="73"/>
      <c r="AW66" s="73"/>
      <c r="AX66" s="73"/>
      <c r="AY66" s="73"/>
      <c r="AZ66" s="73"/>
      <c r="BA66" s="77"/>
      <c r="BC66" s="461"/>
      <c r="BD66" s="453"/>
      <c r="BE66" s="453"/>
      <c r="BF66" s="453"/>
      <c r="BG66" s="453"/>
      <c r="BH66" s="453"/>
      <c r="BI66" s="453"/>
      <c r="BJ66" s="453"/>
      <c r="BK66" s="453"/>
      <c r="BL66" s="453"/>
      <c r="BM66" s="453"/>
      <c r="BN66" s="453"/>
      <c r="BO66" s="453"/>
      <c r="BP66" s="453"/>
      <c r="BQ66" s="453"/>
      <c r="BR66" s="459"/>
      <c r="BU66" s="18"/>
      <c r="BV66" s="458"/>
      <c r="BW66" s="127"/>
      <c r="BX66" s="127"/>
      <c r="BY66" s="127"/>
      <c r="BZ66" s="127"/>
      <c r="CA66" s="127"/>
      <c r="CB66" s="127"/>
      <c r="CC66" s="127"/>
      <c r="CD66" s="127"/>
      <c r="CE66" s="127"/>
      <c r="CF66" s="128"/>
      <c r="CG66" s="127"/>
      <c r="CJ66" s="276"/>
      <c r="CK66" s="151"/>
      <c r="CL66" s="276"/>
      <c r="CM66" s="266"/>
      <c r="CN66" s="16"/>
      <c r="CT66" s="103"/>
      <c r="CU66" s="103"/>
      <c r="CV66" s="7"/>
      <c r="CW66" s="18"/>
      <c r="CX66" s="2"/>
      <c r="CY66" s="2"/>
      <c r="CZ66" s="2"/>
      <c r="DA66" s="5"/>
    </row>
    <row r="67" spans="2:126" ht="23.25" x14ac:dyDescent="0.25">
      <c r="B67" s="182"/>
      <c r="C67" s="448"/>
      <c r="D67" s="448"/>
      <c r="E67" s="448"/>
      <c r="F67" s="448"/>
      <c r="G67" s="448"/>
      <c r="H67" s="448"/>
      <c r="I67" s="203"/>
      <c r="J67" s="183"/>
      <c r="K67" s="183"/>
      <c r="L67" s="184"/>
      <c r="M67" s="182"/>
      <c r="N67" s="183"/>
      <c r="O67" s="183"/>
      <c r="P67" s="183"/>
      <c r="Q67" s="183"/>
      <c r="R67" s="183"/>
      <c r="S67" s="183"/>
      <c r="T67" s="183"/>
      <c r="U67" s="183"/>
      <c r="V67" s="183"/>
      <c r="W67" s="183"/>
      <c r="X67" s="183"/>
      <c r="Y67" s="183"/>
      <c r="Z67" s="240"/>
      <c r="AA67" s="183"/>
      <c r="AB67" s="647"/>
      <c r="AC67" s="647"/>
      <c r="AD67" s="183"/>
      <c r="AE67" s="183"/>
      <c r="AF67" s="183"/>
      <c r="AG67" s="183"/>
      <c r="AH67" s="183"/>
      <c r="AI67" s="183"/>
      <c r="AJ67" s="183"/>
      <c r="AK67" s="184"/>
      <c r="AM67" s="42"/>
      <c r="AN67" s="78" t="s">
        <v>87</v>
      </c>
      <c r="AO67" s="277">
        <f>IF(H37&lt;4,        0,           CN194)</f>
        <v>0</v>
      </c>
      <c r="AP67" s="79" t="str">
        <f>IF(H$15="Imperial",    "ft",       "m")</f>
        <v>ft</v>
      </c>
      <c r="AQ67" s="472" t="s">
        <v>88</v>
      </c>
      <c r="AR67" s="472"/>
      <c r="AS67" s="73"/>
      <c r="AT67" s="73">
        <f>CN190</f>
        <v>0</v>
      </c>
      <c r="AU67" s="73" t="s">
        <v>89</v>
      </c>
      <c r="AV67" s="73"/>
      <c r="AW67" s="73">
        <f>CN191</f>
        <v>0</v>
      </c>
      <c r="AX67" s="73" t="s">
        <v>90</v>
      </c>
      <c r="AY67" s="73"/>
      <c r="AZ67" s="73"/>
      <c r="BA67" s="77"/>
      <c r="BC67" s="461"/>
      <c r="BD67" s="453"/>
      <c r="BE67" s="453"/>
      <c r="BF67" s="453"/>
      <c r="BG67" s="453"/>
      <c r="BH67" s="453"/>
      <c r="BI67" s="453"/>
      <c r="BJ67" s="453"/>
      <c r="BK67" s="453"/>
      <c r="BL67" s="453"/>
      <c r="BM67" s="453"/>
      <c r="BN67" s="453"/>
      <c r="BO67" s="453"/>
      <c r="BP67" s="453"/>
      <c r="BQ67" s="453"/>
      <c r="BR67" s="459"/>
      <c r="BU67" s="18"/>
      <c r="BV67" s="458"/>
      <c r="BW67" s="127" t="str">
        <f>IF($H$15="Imperial","Storage Volume (ft²)","Storage Volume (m²)")</f>
        <v>Storage Volume (ft²)</v>
      </c>
      <c r="BX67" s="350">
        <f>SUMIFS($BY$166:$BY$199,$BW$166:$BW$199,$H$19,$BX$166:$BX$199,$BW67)</f>
        <v>93.05</v>
      </c>
      <c r="BY67" s="127">
        <f>IF($H$15="Imperial",               ((((BY61*BY63*BY65)/1728)-BX67)*($H$33/100)),                         ((((BY61*BY63*BY65)/1000000000)-BX67)*($H$33/100)))</f>
        <v>88.215185185185192</v>
      </c>
      <c r="BZ67" s="127">
        <f>IF($H$15="Imperial",                 ((((BZ61*BZ63*BZ65)/1728)-BX67)*($H$33/100)),           ((((BZ61*BZ63*BZ65)/1000000000)-BX67)*($H$33/100)))</f>
        <v>76.331851851851852</v>
      </c>
      <c r="CA67" s="127">
        <f>BX67+BY67</f>
        <v>181.2651851851852</v>
      </c>
      <c r="CB67" s="127">
        <f>BX67+BZ67</f>
        <v>169.38185185185185</v>
      </c>
      <c r="CC67" s="350">
        <f>SUMIFS($BZ$166:$BZ$199,$BW$166:$BW$199,$H$19,$BX$166:$BX$199,$BW67)</f>
        <v>88</v>
      </c>
      <c r="CD67" s="127">
        <f>IF($H$15="Imperial",                             ((((CD61*CD63*CD65)/1728)-CC67)*($H$33/100)),            ((((CD61*CD63*CD65)/1000000000)-CC67)*($H$33/100)))</f>
        <v>65.69351851851853</v>
      </c>
      <c r="CE67" s="127">
        <f>IF($H$15="Imperial",                  ((((CE61*CE63*CE65)/1728)-CC67)*($H$33/100)),                       ((((CE61*CE63*CE65)/1000000000)-CC67)*($H$33/100)))</f>
        <v>56.135185185185186</v>
      </c>
      <c r="CF67" s="127">
        <f>CC67+CD67</f>
        <v>153.69351851851854</v>
      </c>
      <c r="CG67" s="127">
        <f>CC67+CE67</f>
        <v>144.13518518518518</v>
      </c>
      <c r="CJ67" s="525" t="s">
        <v>158</v>
      </c>
      <c r="CK67" s="525"/>
      <c r="CL67" s="525"/>
      <c r="CM67" s="272">
        <f>(CF67*1728)/CD63</f>
        <v>2795.6042105263159</v>
      </c>
      <c r="CN67" s="95"/>
      <c r="CT67" s="103"/>
      <c r="CU67" s="103"/>
      <c r="CV67" s="7"/>
      <c r="CW67" s="18"/>
      <c r="CX67" s="2"/>
      <c r="CY67" s="2"/>
      <c r="CZ67" s="2"/>
      <c r="DA67" s="5"/>
    </row>
    <row r="68" spans="2:126" ht="3.75" customHeight="1" x14ac:dyDescent="0.25">
      <c r="B68" s="585" t="str">
        <f>IF(AND(H37&gt;1,H15="Imperial",H39&lt;12),"The Space Between Layers should be at least 12 Inches",
IF(AND(H37&gt;1,H15="Metric",H39&lt;305),"The Space Between Layers should be at least 305mm",
IF(AND(H23="Width",H41&gt;H43),"The Input Number of Rows Exceeds the Maximum Suggested Number of Rows.",IF(AND(H23="Length",H41&lt;H43),"The Input Number of Rows is Less than the Minimum Suggested Number of Rows",
IF(AND(H15="Imperial",H19="SC-44",H45&lt;9),"The Space Between Rows should be at least 9 inches ",
IF(AND(H15="Metric",H19="SC-44",H45&lt;228),"The Space between Rows should be at least 228mm",
IF(AND(H15="Imperial",H19="SC-18",H45&lt;6),"The Space Between Rows should be at least 6 inches ",
IF(AND(H15="Metric",H19="SC-18",H45&lt;152),"The Space between Rows should be at least 152mm",
IF(AND(H15="Imperial",H19="SC-34E",H45&lt;6),"The Space Between Rows should be at least 6 inches ",
IF(AND(H15="Metric",H19="SC-34E",H45&lt;152),"The Space between Rows should be at least 152mm",
IF(AND(H15="Imperial",NOT(H19="SC-44"),H45&lt;6),"The Space Between Rows should be at least 6 inches",
IF(AND(H15="Metric",NOT(H19="SC-44"),H45&lt;152),"The Space between Rows should be at least 152mm",""))))))))))))</f>
        <v xml:space="preserve">The Space Between Rows should be at least 9 inches </v>
      </c>
      <c r="C68" s="448"/>
      <c r="D68" s="448"/>
      <c r="E68" s="448"/>
      <c r="F68" s="448"/>
      <c r="G68" s="448"/>
      <c r="H68" s="448"/>
      <c r="I68" s="448"/>
      <c r="J68" s="448"/>
      <c r="K68" s="448"/>
      <c r="L68" s="586"/>
      <c r="M68" s="279"/>
      <c r="N68" s="280"/>
      <c r="O68" s="280"/>
      <c r="P68" s="280"/>
      <c r="Q68" s="280"/>
      <c r="R68" s="280"/>
      <c r="S68" s="280"/>
      <c r="T68" s="280"/>
      <c r="U68" s="280"/>
      <c r="V68" s="280"/>
      <c r="W68" s="280"/>
      <c r="X68" s="280"/>
      <c r="Y68" s="280"/>
      <c r="Z68" s="280"/>
      <c r="AA68" s="280"/>
      <c r="AB68" s="280"/>
      <c r="AC68" s="280"/>
      <c r="AD68" s="280"/>
      <c r="AE68" s="280"/>
      <c r="AF68" s="280"/>
      <c r="AG68" s="280"/>
      <c r="AH68" s="280"/>
      <c r="AI68" s="280"/>
      <c r="AJ68" s="280"/>
      <c r="AK68" s="281"/>
      <c r="AM68" s="42"/>
      <c r="AN68" s="73"/>
      <c r="AO68" s="175"/>
      <c r="AP68" s="79"/>
      <c r="AQ68" s="73"/>
      <c r="AR68" s="74"/>
      <c r="AS68" s="73"/>
      <c r="AT68" s="73"/>
      <c r="AU68" s="73"/>
      <c r="AV68" s="73"/>
      <c r="AW68" s="73"/>
      <c r="AX68" s="73"/>
      <c r="AY68" s="73"/>
      <c r="AZ68" s="73"/>
      <c r="BA68" s="77"/>
      <c r="BC68" s="461"/>
      <c r="BD68" s="453"/>
      <c r="BE68" s="453"/>
      <c r="BF68" s="453"/>
      <c r="BG68" s="453"/>
      <c r="BH68" s="453"/>
      <c r="BI68" s="453"/>
      <c r="BJ68" s="453"/>
      <c r="BK68" s="453"/>
      <c r="BL68" s="453"/>
      <c r="BM68" s="453"/>
      <c r="BN68" s="453"/>
      <c r="BO68" s="453"/>
      <c r="BP68" s="453"/>
      <c r="BQ68" s="453"/>
      <c r="BR68" s="459"/>
      <c r="BU68" s="18"/>
      <c r="BV68" s="458"/>
      <c r="BW68" s="127"/>
      <c r="BX68" s="127"/>
      <c r="BY68" s="127"/>
      <c r="BZ68" s="127"/>
      <c r="CA68" s="127"/>
      <c r="CB68" s="127"/>
      <c r="CC68" s="127"/>
      <c r="CD68" s="127"/>
      <c r="CE68" s="127"/>
      <c r="CF68" s="127"/>
      <c r="CG68" s="127"/>
      <c r="CJ68" s="276"/>
      <c r="CK68" s="151"/>
      <c r="CL68" s="276"/>
      <c r="CM68" s="266"/>
      <c r="CN68" s="16"/>
      <c r="CT68" s="103"/>
      <c r="CU68" s="103"/>
      <c r="CV68" s="7"/>
      <c r="CW68" s="18"/>
      <c r="CX68" s="2"/>
      <c r="CY68" s="2"/>
      <c r="CZ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5"/>
    </row>
    <row r="69" spans="2:126" ht="23.25" x14ac:dyDescent="0.25">
      <c r="B69" s="585"/>
      <c r="C69" s="448"/>
      <c r="D69" s="448"/>
      <c r="E69" s="448"/>
      <c r="F69" s="448"/>
      <c r="G69" s="448"/>
      <c r="H69" s="448"/>
      <c r="I69" s="448"/>
      <c r="J69" s="448"/>
      <c r="K69" s="448"/>
      <c r="L69" s="586"/>
      <c r="M69" s="279"/>
      <c r="N69" s="280"/>
      <c r="O69" s="280"/>
      <c r="P69" s="183"/>
      <c r="Q69" s="183"/>
      <c r="R69" s="183"/>
      <c r="S69" s="183"/>
      <c r="T69" s="183"/>
      <c r="U69" s="183"/>
      <c r="V69" s="183"/>
      <c r="W69" s="183"/>
      <c r="X69" s="183"/>
      <c r="Y69" s="183"/>
      <c r="Z69" s="183"/>
      <c r="AA69" s="280"/>
      <c r="AB69" s="280"/>
      <c r="AC69" s="280"/>
      <c r="AD69" s="434">
        <v>30</v>
      </c>
      <c r="AE69" s="435" t="s">
        <v>159</v>
      </c>
      <c r="AF69" s="280"/>
      <c r="AG69" s="280"/>
      <c r="AH69" s="280"/>
      <c r="AI69" s="280"/>
      <c r="AJ69" s="280"/>
      <c r="AK69" s="281"/>
      <c r="AM69" s="42"/>
      <c r="AN69" s="81" t="s">
        <v>93</v>
      </c>
      <c r="AO69" s="174">
        <f>IF(H37&lt;4,            0,            CN195)</f>
        <v>0</v>
      </c>
      <c r="AP69" s="76" t="str">
        <f>IF(H$15="Imperial",    "ft",       "m")</f>
        <v>ft</v>
      </c>
      <c r="AQ69" s="473" t="s">
        <v>137</v>
      </c>
      <c r="AR69" s="473"/>
      <c r="AS69" s="473"/>
      <c r="AT69" s="473"/>
      <c r="AU69" s="473"/>
      <c r="AV69" s="473"/>
      <c r="AW69" s="473"/>
      <c r="AX69" s="473"/>
      <c r="AY69" s="473"/>
      <c r="AZ69" s="473"/>
      <c r="BA69" s="474"/>
      <c r="BC69" s="461"/>
      <c r="BD69" s="453"/>
      <c r="BE69" s="453"/>
      <c r="BF69" s="453"/>
      <c r="BG69" s="453"/>
      <c r="BH69" s="453"/>
      <c r="BI69" s="453"/>
      <c r="BJ69" s="453"/>
      <c r="BK69" s="453"/>
      <c r="BL69" s="453"/>
      <c r="BM69" s="453"/>
      <c r="BN69" s="453"/>
      <c r="BO69" s="453"/>
      <c r="BP69" s="453"/>
      <c r="BQ69" s="453"/>
      <c r="BR69" s="459"/>
      <c r="BU69" s="18"/>
      <c r="BV69" s="517" t="s">
        <v>160</v>
      </c>
      <c r="BW69" s="517"/>
      <c r="BX69" s="517"/>
      <c r="BY69" s="129">
        <f>BY63*BY61*BY65</f>
        <v>541880</v>
      </c>
      <c r="BZ69" s="129">
        <f>BZ63*BZ61*BZ65</f>
        <v>490544</v>
      </c>
      <c r="CA69" s="130">
        <f>IF(H15="Imperial",           (CA67*1728)/BY69,           (CA67*1000000000)/BY69)</f>
        <v>0.57803617036982369</v>
      </c>
      <c r="CB69" s="130">
        <f>IF(H15="Imperial",             (CB67*1728)/BZ69,          (CB67*1000000000)/BZ69)</f>
        <v>0.59666786261782834</v>
      </c>
      <c r="CC69" s="127"/>
      <c r="CD69" s="129">
        <f>CD61*CD63*CD65</f>
        <v>435860</v>
      </c>
      <c r="CE69" s="129">
        <f>CE61*CE63*CE65</f>
        <v>394568</v>
      </c>
      <c r="CF69" s="127">
        <f>IF(H15="Imperial",          (CF67*1728)/CD69,         (CF67*1000000000)/CD69)</f>
        <v>0.6093296012481072</v>
      </c>
      <c r="CG69" s="127">
        <f>IF(H15="Imperial",       (CG67*1728)/CE69,         (CG67*1000000000)/CE69)</f>
        <v>0.63123618742523457</v>
      </c>
      <c r="CJ69" s="525" t="s">
        <v>161</v>
      </c>
      <c r="CK69" s="525"/>
      <c r="CL69" s="525"/>
      <c r="CM69" s="266">
        <f>(CG67*1728)/CE65</f>
        <v>3365.7513513513509</v>
      </c>
      <c r="CN69" s="16"/>
      <c r="CT69" s="103"/>
      <c r="CU69" s="103"/>
      <c r="CV69" s="7"/>
      <c r="CW69" s="18"/>
      <c r="CX69" s="2"/>
      <c r="CY69" s="2"/>
      <c r="CZ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5"/>
    </row>
    <row r="70" spans="2:126" ht="15.75" x14ac:dyDescent="0.25">
      <c r="B70" s="182"/>
      <c r="C70" s="448" t="str">
        <f>IF(H47&lt;H49,"The Input Number of SedimenTraps does not match the Suggested Number of SedimenTraps. Not using the suggested number could result in Calculation Errors.",                                     IF(OR(AND(H41=AU25, H41=2,  (H17+(CC13/2))&lt;=AU19),  AND(H41=AU25,  (H17+CG15)&lt;=AU19)),       "The system storage is considerably more than the Required storage. Consider reducung the number of rows",          ""))</f>
        <v>The Input Number of SedimenTraps does not match the Suggested Number of SedimenTraps. Not using the suggested number could result in Calculation Errors.</v>
      </c>
      <c r="D70" s="448"/>
      <c r="E70" s="448"/>
      <c r="F70" s="448"/>
      <c r="G70" s="448"/>
      <c r="H70" s="448"/>
      <c r="I70" s="448"/>
      <c r="J70" s="183"/>
      <c r="K70" s="183"/>
      <c r="L70" s="184"/>
      <c r="M70" s="182"/>
      <c r="N70" s="183"/>
      <c r="O70" s="183"/>
      <c r="P70" s="183"/>
      <c r="Q70" s="183"/>
      <c r="R70" s="183"/>
      <c r="S70" s="183"/>
      <c r="T70" s="183"/>
      <c r="U70" s="183"/>
      <c r="V70" s="183"/>
      <c r="W70" s="22">
        <f>H45</f>
        <v>6</v>
      </c>
      <c r="X70" s="13" t="str">
        <f>IF(H15="Imperial", " Inches",        "mm")</f>
        <v xml:space="preserve"> Inches</v>
      </c>
      <c r="Y70" s="241"/>
      <c r="Z70" s="183"/>
      <c r="AA70" s="183"/>
      <c r="AB70" s="183"/>
      <c r="AC70" s="183"/>
      <c r="AD70" s="183"/>
      <c r="AE70" s="183"/>
      <c r="AF70" s="183"/>
      <c r="AG70" s="183"/>
      <c r="AH70" s="183"/>
      <c r="AI70" s="183"/>
      <c r="AJ70" s="183"/>
      <c r="AK70" s="184"/>
      <c r="AM70" s="42"/>
      <c r="AN70" s="78"/>
      <c r="AO70" s="277"/>
      <c r="AP70" s="79"/>
      <c r="AQ70" s="83"/>
      <c r="AR70" s="73"/>
      <c r="AS70" s="73"/>
      <c r="AT70" s="73"/>
      <c r="AU70" s="73"/>
      <c r="AV70" s="73"/>
      <c r="AW70" s="73"/>
      <c r="AX70" s="73"/>
      <c r="AY70" s="73"/>
      <c r="AZ70" s="73"/>
      <c r="BA70" s="77"/>
      <c r="BC70" s="461"/>
      <c r="BD70" s="453"/>
      <c r="BE70" s="453"/>
      <c r="BF70" s="453"/>
      <c r="BG70" s="453"/>
      <c r="BH70" s="453"/>
      <c r="BI70" s="453"/>
      <c r="BJ70" s="453"/>
      <c r="BK70" s="453"/>
      <c r="BL70" s="453"/>
      <c r="BM70" s="453"/>
      <c r="BN70" s="453"/>
      <c r="BO70" s="453"/>
      <c r="BP70" s="453"/>
      <c r="BQ70" s="453"/>
      <c r="BR70" s="459"/>
      <c r="BU70" s="18"/>
      <c r="BV70" s="127"/>
      <c r="BW70" s="127"/>
      <c r="BX70" s="127"/>
      <c r="BY70" s="127"/>
      <c r="BZ70" s="131"/>
      <c r="CA70" s="121"/>
      <c r="CB70" s="127"/>
      <c r="CC70" s="127"/>
      <c r="CD70" s="127"/>
      <c r="CE70" s="127"/>
      <c r="CF70" s="127"/>
      <c r="CG70" s="127"/>
      <c r="CJ70" s="288"/>
      <c r="CK70" s="288"/>
      <c r="CL70" s="288"/>
      <c r="CM70" s="288"/>
      <c r="CN70" s="104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5"/>
    </row>
    <row r="71" spans="2:126" ht="15" customHeight="1" x14ac:dyDescent="0.25">
      <c r="B71" s="182"/>
      <c r="C71" s="448"/>
      <c r="D71" s="448"/>
      <c r="E71" s="448"/>
      <c r="F71" s="448"/>
      <c r="G71" s="448"/>
      <c r="H71" s="448"/>
      <c r="I71" s="448"/>
      <c r="J71" s="183"/>
      <c r="K71" s="183"/>
      <c r="L71" s="184"/>
      <c r="M71" s="182"/>
      <c r="N71" s="183"/>
      <c r="O71" s="183"/>
      <c r="P71" s="183"/>
      <c r="Q71" s="183"/>
      <c r="R71" s="183"/>
      <c r="S71" s="183"/>
      <c r="T71" s="23"/>
      <c r="U71" s="23"/>
      <c r="V71" s="23"/>
      <c r="W71" s="23"/>
      <c r="X71" s="183"/>
      <c r="Y71" s="183"/>
      <c r="Z71" s="183"/>
      <c r="AA71" s="183"/>
      <c r="AB71" s="183"/>
      <c r="AC71" s="183"/>
      <c r="AD71" s="241"/>
      <c r="AE71" s="339" t="str">
        <f>IF(H15="Imperial",      "24    Inches",              "610     mm")</f>
        <v>24    Inches</v>
      </c>
      <c r="AF71" s="183"/>
      <c r="AG71" s="183"/>
      <c r="AH71" s="183"/>
      <c r="AI71" s="183"/>
      <c r="AJ71" s="183"/>
      <c r="AK71" s="184"/>
      <c r="AM71" s="42"/>
      <c r="AN71" s="82" t="s">
        <v>95</v>
      </c>
      <c r="AO71" s="96">
        <f>IF(H37&lt;4,              0,               IF(H15="Imperial",     (BX100+H29+(H39/2))/12,            (BX100+H29+(H39/2))/1000))</f>
        <v>0</v>
      </c>
      <c r="AP71" s="86" t="str">
        <f>IF(H$15="Imperial",    "ft",       "m")</f>
        <v>ft</v>
      </c>
      <c r="AQ71" s="476" t="s">
        <v>96</v>
      </c>
      <c r="AR71" s="476"/>
      <c r="AS71" s="476"/>
      <c r="AT71" s="476"/>
      <c r="AU71" s="477">
        <f>CN193</f>
        <v>0</v>
      </c>
      <c r="AV71" s="477"/>
      <c r="AW71" s="477"/>
      <c r="AX71" s="87" t="str">
        <f>IF(H27="Imperial",        "Cubic Feet",        "Cubic Meters")</f>
        <v>Cubic Meters</v>
      </c>
      <c r="AY71" s="87"/>
      <c r="AZ71" s="87"/>
      <c r="BA71" s="77"/>
      <c r="BC71" s="461"/>
      <c r="BD71" s="453"/>
      <c r="BE71" s="453"/>
      <c r="BF71" s="453"/>
      <c r="BG71" s="453"/>
      <c r="BH71" s="453"/>
      <c r="BI71" s="453"/>
      <c r="BJ71" s="453"/>
      <c r="BK71" s="453"/>
      <c r="BL71" s="453"/>
      <c r="BM71" s="453"/>
      <c r="BN71" s="453"/>
      <c r="BO71" s="453"/>
      <c r="BP71" s="453"/>
      <c r="BQ71" s="453"/>
      <c r="BR71" s="459"/>
      <c r="BU71" s="18"/>
      <c r="BV71" s="518" t="str">
        <f>IF($H$37=2,"Bottom Layer","")</f>
        <v/>
      </c>
      <c r="BW71" s="518"/>
      <c r="BX71" s="518" t="s">
        <v>138</v>
      </c>
      <c r="BY71" s="518"/>
      <c r="BZ71" s="518"/>
      <c r="CA71" s="518"/>
      <c r="CB71" s="518"/>
      <c r="CC71" s="518" t="s">
        <v>139</v>
      </c>
      <c r="CD71" s="518"/>
      <c r="CE71" s="518"/>
      <c r="CF71" s="518"/>
      <c r="CG71" s="518"/>
      <c r="CJ71" s="525" t="s">
        <v>162</v>
      </c>
      <c r="CK71" s="525"/>
      <c r="CL71" s="525"/>
      <c r="CM71" s="272">
        <f>(CG67*1728)/CE63</f>
        <v>2896.1116279069765</v>
      </c>
      <c r="CN71" s="104"/>
      <c r="DB71" s="6"/>
      <c r="DC71" s="6"/>
      <c r="DD71" s="317"/>
      <c r="DE71" s="6"/>
      <c r="DF71" s="6"/>
      <c r="DG71" s="6"/>
      <c r="DH71" s="6"/>
      <c r="DI71" s="6"/>
      <c r="DJ71" s="6"/>
      <c r="DK71" s="6"/>
      <c r="DL71" s="6"/>
      <c r="DM71" s="5"/>
    </row>
    <row r="72" spans="2:126" ht="3.75" customHeight="1" x14ac:dyDescent="0.25">
      <c r="B72" s="182"/>
      <c r="C72" s="448"/>
      <c r="D72" s="448"/>
      <c r="E72" s="448"/>
      <c r="F72" s="448"/>
      <c r="G72" s="448"/>
      <c r="H72" s="448"/>
      <c r="I72" s="448"/>
      <c r="J72" s="183"/>
      <c r="K72" s="183"/>
      <c r="L72" s="184"/>
      <c r="M72" s="182"/>
      <c r="N72" s="183"/>
      <c r="O72" s="183"/>
      <c r="P72" s="183"/>
      <c r="Q72" s="183"/>
      <c r="R72" s="183"/>
      <c r="S72" s="183"/>
      <c r="T72" s="183"/>
      <c r="U72" s="183"/>
      <c r="V72" s="183"/>
      <c r="W72" s="183"/>
      <c r="X72" s="183"/>
      <c r="Y72" s="183"/>
      <c r="Z72" s="183"/>
      <c r="AA72" s="183"/>
      <c r="AB72" s="183"/>
      <c r="AC72" s="183"/>
      <c r="AD72" s="183"/>
      <c r="AE72" s="183"/>
      <c r="AF72" s="183"/>
      <c r="AG72" s="183"/>
      <c r="AH72" s="183"/>
      <c r="AI72" s="183"/>
      <c r="AJ72" s="183"/>
      <c r="AK72" s="184"/>
      <c r="AM72" s="42"/>
      <c r="AN72" s="73"/>
      <c r="AO72" s="73"/>
      <c r="AP72" s="73"/>
      <c r="AQ72" s="73"/>
      <c r="AR72" s="73"/>
      <c r="AS72" s="73"/>
      <c r="AT72" s="73"/>
      <c r="AU72" s="73"/>
      <c r="AV72" s="73"/>
      <c r="AW72" s="73"/>
      <c r="AX72" s="73"/>
      <c r="AY72" s="73"/>
      <c r="AZ72" s="73"/>
      <c r="BA72" s="77"/>
      <c r="BC72" s="461"/>
      <c r="BD72" s="453"/>
      <c r="BE72" s="453"/>
      <c r="BF72" s="453"/>
      <c r="BG72" s="453"/>
      <c r="BH72" s="453"/>
      <c r="BI72" s="453"/>
      <c r="BJ72" s="453"/>
      <c r="BK72" s="453"/>
      <c r="BL72" s="453"/>
      <c r="BM72" s="453"/>
      <c r="BN72" s="453"/>
      <c r="BO72" s="453"/>
      <c r="BP72" s="453"/>
      <c r="BQ72" s="453"/>
      <c r="BR72" s="459"/>
      <c r="BV72" s="126"/>
      <c r="BW72" s="126"/>
      <c r="BX72" s="510" t="s">
        <v>143</v>
      </c>
      <c r="BY72" s="501" t="s">
        <v>144</v>
      </c>
      <c r="BZ72" s="501" t="s">
        <v>145</v>
      </c>
      <c r="CA72" s="501" t="s">
        <v>146</v>
      </c>
      <c r="CB72" s="501" t="s">
        <v>147</v>
      </c>
      <c r="CC72" s="510" t="s">
        <v>143</v>
      </c>
      <c r="CD72" s="501" t="s">
        <v>144</v>
      </c>
      <c r="CE72" s="501" t="s">
        <v>145</v>
      </c>
      <c r="CF72" s="501" t="s">
        <v>146</v>
      </c>
      <c r="CG72" s="501" t="s">
        <v>147</v>
      </c>
      <c r="CJ72" s="269"/>
      <c r="CK72" s="269"/>
      <c r="CL72" s="269"/>
      <c r="CM72" s="95"/>
      <c r="CN72" s="104"/>
      <c r="DB72" s="6"/>
      <c r="DC72" s="6"/>
      <c r="DD72" s="317"/>
      <c r="DE72" s="6"/>
      <c r="DF72" s="6"/>
      <c r="DG72" s="6"/>
      <c r="DH72" s="6"/>
      <c r="DI72" s="6"/>
      <c r="DJ72" s="6"/>
      <c r="DK72" s="6"/>
      <c r="DL72" s="6"/>
      <c r="DM72" s="1"/>
      <c r="DN72" s="2"/>
    </row>
    <row r="73" spans="2:126" ht="17.25" customHeight="1" x14ac:dyDescent="0.25">
      <c r="B73" s="182"/>
      <c r="C73" s="183"/>
      <c r="D73" s="183"/>
      <c r="E73" s="183"/>
      <c r="F73" s="183"/>
      <c r="G73" s="183"/>
      <c r="H73" s="183"/>
      <c r="I73" s="183"/>
      <c r="J73" s="183"/>
      <c r="K73" s="183"/>
      <c r="L73" s="184"/>
      <c r="M73" s="182"/>
      <c r="N73" s="183"/>
      <c r="O73" s="183"/>
      <c r="P73" s="183"/>
      <c r="Q73" s="183"/>
      <c r="R73" s="183"/>
      <c r="S73" s="183"/>
      <c r="T73" s="183"/>
      <c r="U73" s="183"/>
      <c r="V73" s="183"/>
      <c r="W73" s="183"/>
      <c r="X73" s="183"/>
      <c r="Y73" s="183"/>
      <c r="Z73" s="183"/>
      <c r="AA73" s="183"/>
      <c r="AB73" s="183"/>
      <c r="AC73" s="183"/>
      <c r="AD73" s="89"/>
      <c r="AE73" s="23"/>
      <c r="AF73" s="183"/>
      <c r="AG73" s="183"/>
      <c r="AH73" s="183"/>
      <c r="AI73" s="183"/>
      <c r="AJ73" s="183"/>
      <c r="AK73" s="184"/>
      <c r="AM73" s="42"/>
      <c r="AN73" s="73"/>
      <c r="AO73" s="73"/>
      <c r="AP73" s="73"/>
      <c r="AQ73" s="478" t="s">
        <v>152</v>
      </c>
      <c r="AR73" s="478"/>
      <c r="AS73" s="478"/>
      <c r="AT73" s="478"/>
      <c r="AU73" s="479">
        <f>(AT67*AW67)</f>
        <v>0</v>
      </c>
      <c r="AV73" s="479"/>
      <c r="AW73" s="479"/>
      <c r="AX73" s="73"/>
      <c r="AY73" s="73"/>
      <c r="AZ73" s="73"/>
      <c r="BA73" s="77"/>
      <c r="BC73" s="461"/>
      <c r="BD73" s="492"/>
      <c r="BE73" s="492"/>
      <c r="BF73" s="492"/>
      <c r="BG73" s="492"/>
      <c r="BH73" s="492"/>
      <c r="BI73" s="492"/>
      <c r="BJ73" s="453"/>
      <c r="BK73" s="453"/>
      <c r="BL73" s="453"/>
      <c r="BM73" s="453"/>
      <c r="BN73" s="453"/>
      <c r="BO73" s="453"/>
      <c r="BP73" s="453"/>
      <c r="BQ73" s="453"/>
      <c r="BR73" s="459"/>
      <c r="BV73" s="458" t="str">
        <f>IF($H$37&gt;1,$H$19,"")</f>
        <v/>
      </c>
      <c r="BW73" s="127"/>
      <c r="BX73" s="510"/>
      <c r="BY73" s="501"/>
      <c r="BZ73" s="501"/>
      <c r="CA73" s="501"/>
      <c r="CB73" s="501"/>
      <c r="CC73" s="510"/>
      <c r="CD73" s="501"/>
      <c r="CE73" s="501"/>
      <c r="CF73" s="501"/>
      <c r="CG73" s="501"/>
      <c r="CJ73" s="269"/>
      <c r="CK73" s="269"/>
      <c r="CL73" s="269"/>
      <c r="CM73" s="95"/>
      <c r="CN73" s="104"/>
      <c r="DB73" s="7"/>
      <c r="DC73" s="19"/>
      <c r="DD73" s="7"/>
      <c r="DE73" s="1"/>
      <c r="DF73" s="1"/>
      <c r="DG73" s="1"/>
      <c r="DH73" s="1"/>
      <c r="DI73" s="1"/>
      <c r="DJ73" s="1"/>
      <c r="DK73" s="1"/>
      <c r="DL73" s="1"/>
      <c r="DM73" s="1"/>
      <c r="DN73" s="2"/>
    </row>
    <row r="74" spans="2:126" ht="3.75" customHeight="1" x14ac:dyDescent="0.25">
      <c r="B74" s="88"/>
      <c r="C74" s="89"/>
      <c r="D74" s="89"/>
      <c r="E74" s="89"/>
      <c r="F74" s="89"/>
      <c r="G74" s="89"/>
      <c r="H74" s="204"/>
      <c r="I74" s="204"/>
      <c r="J74" s="89"/>
      <c r="K74" s="89"/>
      <c r="L74" s="90"/>
      <c r="M74" s="88"/>
      <c r="N74" s="89"/>
      <c r="O74" s="89"/>
      <c r="P74" s="89"/>
      <c r="Q74" s="89"/>
      <c r="R74" s="89"/>
      <c r="S74" s="89"/>
      <c r="T74" s="89"/>
      <c r="U74" s="89"/>
      <c r="V74" s="89"/>
      <c r="W74" s="89"/>
      <c r="X74" s="89"/>
      <c r="Y74" s="89"/>
      <c r="Z74" s="89"/>
      <c r="AA74" s="89"/>
      <c r="AB74" s="89"/>
      <c r="AC74" s="89"/>
      <c r="AD74" s="89"/>
      <c r="AE74" s="89"/>
      <c r="AF74" s="89"/>
      <c r="AG74" s="89"/>
      <c r="AH74" s="89"/>
      <c r="AI74" s="89"/>
      <c r="AJ74" s="89"/>
      <c r="AK74" s="90"/>
      <c r="AM74" s="42"/>
      <c r="AN74" s="73"/>
      <c r="AO74" s="73"/>
      <c r="AP74" s="73"/>
      <c r="AQ74" s="79"/>
      <c r="AR74" s="79"/>
      <c r="AS74" s="79"/>
      <c r="AT74" s="79"/>
      <c r="AU74" s="278"/>
      <c r="AV74" s="278"/>
      <c r="AW74" s="278"/>
      <c r="AX74" s="73"/>
      <c r="AY74" s="73"/>
      <c r="AZ74" s="73"/>
      <c r="BA74" s="77"/>
      <c r="BC74" s="461"/>
      <c r="BD74" s="492"/>
      <c r="BE74" s="492"/>
      <c r="BF74" s="492"/>
      <c r="BG74" s="492"/>
      <c r="BH74" s="492"/>
      <c r="BI74" s="492"/>
      <c r="BJ74" s="453"/>
      <c r="BK74" s="453"/>
      <c r="BL74" s="453"/>
      <c r="BM74" s="453"/>
      <c r="BN74" s="453"/>
      <c r="BO74" s="453"/>
      <c r="BP74" s="453"/>
      <c r="BQ74" s="453"/>
      <c r="BR74" s="459"/>
      <c r="BV74" s="458"/>
      <c r="BW74" s="127"/>
      <c r="BX74" s="510"/>
      <c r="BY74" s="501"/>
      <c r="BZ74" s="501"/>
      <c r="CA74" s="501"/>
      <c r="CB74" s="501"/>
      <c r="CC74" s="510"/>
      <c r="CD74" s="501"/>
      <c r="CE74" s="501"/>
      <c r="CF74" s="501"/>
      <c r="CG74" s="501"/>
      <c r="CJ74" s="269"/>
      <c r="CK74" s="269"/>
      <c r="CL74" s="269"/>
      <c r="CM74" s="95"/>
      <c r="CN74" s="104"/>
      <c r="DB74" s="7"/>
      <c r="DC74" s="19"/>
      <c r="DD74" s="7"/>
      <c r="DE74" s="1"/>
      <c r="DF74" s="1"/>
      <c r="DG74" s="1"/>
      <c r="DH74" s="1"/>
      <c r="DI74" s="1"/>
      <c r="DJ74" s="1"/>
      <c r="DK74" s="1"/>
      <c r="DL74" s="1"/>
      <c r="DM74" s="1"/>
      <c r="DN74" s="3"/>
    </row>
    <row r="75" spans="2:126" ht="15.75" customHeight="1" thickBot="1" x14ac:dyDescent="0.3">
      <c r="B75" s="597" t="str">
        <f>IF(H15="Imperial",      IF(H19="SC-44",   IF(H29&lt;9,"Stone Below Chambers should be 9 inches or more",    IF(H27&lt;12,   "Stone Above Chambers should be 12 inches or more",    IF(H27&gt;144,    "Stone Above Chambers should be 144 inches or less",   IF(H31&lt;22,   "Total Cover Over Chambers should be 22 inches or more",     IF(H31&gt;144,    "Total Cover Over Chambers should be 144 inches or less",  "" ))))),        IF(H29&lt;6,"Stone Below Chambers should be 6 inches or more",IF(H27&lt;6,"Stone Above Chambers should be 6 inches or more",   IF(H27&gt;192,"Stone Above Chambers should be  192 inches or less",    IF(H31&lt;18,"Total Cover Over Chambers should be 18 inches or more",    IF(H27&gt;192,"Total Cover Over Chambers should be less than 192 inches",  "" )))))),          IF(H19="SC-44",IF(H29&lt;228,"Stone Below Chambers should be more than 228 mm",IF(H27&lt;300,"Stone Above Chambers should be more than 305mm",IF(H27&gt;3660,"Stone Above Chambers should be 3660 mm or less",IF(H31&lt;457,"Total Cover Over Chambers should be 457 mm or more",IF(H27&gt;3660,"Total Cover Over Chambers should be 3660 mm or less",  ""))))),         IF(H29&lt;150,"Stone Below Chambers should be 152 mm or more",IF(H27&lt;152,"Stone Above Chambers should be 152 mm or more",IF(H27&gt;4880,"Stone Above Chambers should be 4880 mm or less",IF(H31&lt;457,"Total Cover Over Chambers should be 457 mm or more",IF(H27&gt;4880,"Total Cover Over Chambers should be 4880 mm or less",  "")))))))</f>
        <v/>
      </c>
      <c r="C75" s="598"/>
      <c r="D75" s="598"/>
      <c r="E75" s="598"/>
      <c r="F75" s="598"/>
      <c r="G75" s="598"/>
      <c r="H75" s="598"/>
      <c r="I75" s="598"/>
      <c r="J75" s="598"/>
      <c r="K75" s="598"/>
      <c r="L75" s="90"/>
      <c r="M75" s="88"/>
      <c r="N75" s="89"/>
      <c r="O75" s="89"/>
      <c r="P75" s="89"/>
      <c r="Q75" s="89"/>
      <c r="R75" s="89"/>
      <c r="S75" s="89"/>
      <c r="T75" s="89"/>
      <c r="U75" s="89"/>
      <c r="V75" s="89"/>
      <c r="W75" s="89"/>
      <c r="X75" s="89"/>
      <c r="Y75" s="89"/>
      <c r="Z75" s="89"/>
      <c r="AA75" s="89"/>
      <c r="AB75" s="89"/>
      <c r="AC75" s="89"/>
      <c r="AD75" s="23"/>
      <c r="AE75" s="23"/>
      <c r="AF75" s="23"/>
      <c r="AG75" s="23"/>
      <c r="AH75" s="190" t="str">
        <f>IF(H15="Imperial", "47   Inches",           "1200  mm")</f>
        <v>47   Inches</v>
      </c>
      <c r="AI75" s="340"/>
      <c r="AJ75" s="89"/>
      <c r="AK75" s="90"/>
      <c r="AM75" s="42"/>
      <c r="AN75" s="209"/>
      <c r="AO75" s="209"/>
      <c r="AP75" s="209"/>
      <c r="AQ75" s="209"/>
      <c r="AR75" s="210"/>
      <c r="AS75" s="209"/>
      <c r="AT75" s="209"/>
      <c r="AU75" s="209"/>
      <c r="AV75" s="209"/>
      <c r="AW75" s="209"/>
      <c r="AX75" s="209"/>
      <c r="AY75" s="209"/>
      <c r="AZ75" s="209"/>
      <c r="BA75" s="77"/>
      <c r="BC75" s="461"/>
      <c r="BD75" s="453"/>
      <c r="BE75" s="453"/>
      <c r="BF75" s="453"/>
      <c r="BG75" s="453"/>
      <c r="BH75" s="453"/>
      <c r="BI75" s="453"/>
      <c r="BJ75" s="453"/>
      <c r="BK75" s="453"/>
      <c r="BL75" s="453"/>
      <c r="BM75" s="453"/>
      <c r="BN75" s="453"/>
      <c r="BO75" s="453"/>
      <c r="BP75" s="453"/>
      <c r="BQ75" s="453"/>
      <c r="BR75" s="459"/>
      <c r="BV75" s="458"/>
      <c r="BW75" s="127" t="str">
        <f>IF($H$15="Imperial","Height (in)","Height (mm)")</f>
        <v>Height (in)</v>
      </c>
      <c r="BX75" s="350">
        <f>SUMIFS($BY$166:$BY$199,$BW$166:$BW$199,$H$19,$BX$166:$BX$199,$BW75)</f>
        <v>41</v>
      </c>
      <c r="BY75" s="127">
        <f>IF($H$37=1,       0,       IF($H$37=2,        $BX$75+$H$29+($H$39/2),         $BX$75+$H$39))</f>
        <v>0</v>
      </c>
      <c r="BZ75" s="127">
        <f>IF($H$37=1,       0,          IF($H$37=2,         $BX$75+$H$29+($H$39/2),          $BX$75+$H$39))</f>
        <v>0</v>
      </c>
      <c r="CA75" s="128"/>
      <c r="CB75" s="127"/>
      <c r="CC75" s="350">
        <f>SUMIFS($BZ$166:$BZ$199,$BW$166:$BW$199,$H$19,$BX$166:$BX$199,$BW75)</f>
        <v>41</v>
      </c>
      <c r="CD75" s="127">
        <f>IF(H37=1,        0,         IF($H$37=2,         $CC$75+$H$29+($H$39/2),          $CC$75+$H$39))</f>
        <v>0</v>
      </c>
      <c r="CE75" s="127">
        <f>IF(H37=1,0,IF($H$37=2,$CC$75+$H$29+($H$39/2),$CC$75+$H$39))</f>
        <v>0</v>
      </c>
      <c r="CF75" s="128"/>
      <c r="CG75" s="127"/>
      <c r="CJ75" s="513" t="str">
        <f>IF($H$15="Imperial",            "Imperial (inches and ft)",         "Metric (mm and meters)")</f>
        <v>Imperial (inches and ft)</v>
      </c>
      <c r="CK75" s="513" t="str">
        <f>IF($H$23="Width",                "by system width",        "by system length")</f>
        <v>by system length</v>
      </c>
      <c r="CL75" s="513"/>
      <c r="CM75" s="513"/>
      <c r="CN75" s="513"/>
      <c r="CP75" s="512" t="s">
        <v>163</v>
      </c>
      <c r="CQ75" s="512"/>
      <c r="CR75" s="512"/>
      <c r="CS75" s="512"/>
      <c r="CT75" s="512"/>
      <c r="CU75" s="512"/>
      <c r="CV75" s="512"/>
      <c r="CW75" s="512"/>
      <c r="CX75" s="512"/>
      <c r="CY75" s="495"/>
      <c r="CZ75" s="495"/>
      <c r="DB75" s="6"/>
      <c r="DC75" s="6"/>
      <c r="DD75" s="6"/>
      <c r="DE75" s="6"/>
      <c r="DF75" s="6"/>
      <c r="DG75" s="6"/>
      <c r="DH75" s="6"/>
      <c r="DI75" s="6"/>
      <c r="DJ75" s="6"/>
      <c r="DK75" s="6"/>
      <c r="DL75" s="7"/>
      <c r="DM75" s="1"/>
    </row>
    <row r="76" spans="2:126" ht="3.75" customHeight="1" x14ac:dyDescent="0.25">
      <c r="B76" s="186"/>
      <c r="C76" s="185"/>
      <c r="D76" s="185"/>
      <c r="E76" s="185"/>
      <c r="F76" s="185"/>
      <c r="G76" s="185"/>
      <c r="H76" s="205"/>
      <c r="I76" s="205"/>
      <c r="J76" s="185"/>
      <c r="K76" s="185"/>
      <c r="L76" s="187"/>
      <c r="M76" s="186"/>
      <c r="N76" s="185"/>
      <c r="O76" s="185"/>
      <c r="P76" s="185"/>
      <c r="Q76" s="185"/>
      <c r="R76" s="185"/>
      <c r="S76" s="185"/>
      <c r="T76" s="185"/>
      <c r="U76" s="185"/>
      <c r="V76" s="185"/>
      <c r="W76" s="185"/>
      <c r="X76" s="185"/>
      <c r="Y76" s="185"/>
      <c r="Z76" s="185"/>
      <c r="AA76" s="185"/>
      <c r="AB76" s="185"/>
      <c r="AC76" s="185"/>
      <c r="AD76" s="185"/>
      <c r="AE76" s="185"/>
      <c r="AF76" s="185"/>
      <c r="AG76" s="185"/>
      <c r="AH76" s="185"/>
      <c r="AI76" s="185"/>
      <c r="AJ76" s="185"/>
      <c r="AK76" s="187"/>
      <c r="AM76" s="42"/>
      <c r="AN76" s="23"/>
      <c r="AO76" s="23"/>
      <c r="AP76" s="23"/>
      <c r="AQ76" s="23"/>
      <c r="AR76" s="23"/>
      <c r="AS76" s="23"/>
      <c r="AT76" s="23"/>
      <c r="AU76" s="23"/>
      <c r="AV76" s="23"/>
      <c r="AW76" s="23"/>
      <c r="AX76" s="23"/>
      <c r="AY76" s="23"/>
      <c r="AZ76" s="23"/>
      <c r="BA76" s="33"/>
      <c r="BC76" s="461"/>
      <c r="BD76" s="453"/>
      <c r="BE76" s="453"/>
      <c r="BF76" s="453"/>
      <c r="BG76" s="453"/>
      <c r="BH76" s="453"/>
      <c r="BI76" s="453"/>
      <c r="BJ76" s="453"/>
      <c r="BK76" s="453"/>
      <c r="BL76" s="453"/>
      <c r="BM76" s="453"/>
      <c r="BN76" s="453"/>
      <c r="BO76" s="453"/>
      <c r="BP76" s="453"/>
      <c r="BQ76" s="453"/>
      <c r="BR76" s="459"/>
      <c r="BV76" s="458"/>
      <c r="BW76" s="127"/>
      <c r="BX76" s="127"/>
      <c r="BY76" s="127"/>
      <c r="BZ76" s="127"/>
      <c r="CA76" s="128"/>
      <c r="CB76" s="127"/>
      <c r="CC76" s="127"/>
      <c r="CD76" s="127"/>
      <c r="CE76" s="127"/>
      <c r="CF76" s="128"/>
      <c r="CG76" s="127"/>
      <c r="CJ76" s="513"/>
      <c r="CK76" s="513"/>
      <c r="CL76" s="513"/>
      <c r="CM76" s="513"/>
      <c r="CN76" s="513"/>
      <c r="CP76" s="512"/>
      <c r="CQ76" s="512"/>
      <c r="CR76" s="512"/>
      <c r="CS76" s="512"/>
      <c r="CT76" s="512"/>
      <c r="CU76" s="512"/>
      <c r="CV76" s="512"/>
      <c r="CW76" s="512"/>
      <c r="CX76" s="512"/>
      <c r="CY76" s="495"/>
      <c r="CZ76" s="495"/>
      <c r="DB76" s="6"/>
      <c r="DC76" s="6"/>
      <c r="DD76" s="6"/>
      <c r="DE76" s="6"/>
      <c r="DF76" s="6"/>
      <c r="DG76" s="6"/>
      <c r="DH76" s="6"/>
      <c r="DI76" s="6"/>
      <c r="DJ76" s="6"/>
      <c r="DK76" s="6"/>
      <c r="DL76" s="249"/>
      <c r="DM76" s="1"/>
      <c r="DO76" s="2"/>
      <c r="DP76" s="2"/>
      <c r="DR76" s="9"/>
    </row>
    <row r="77" spans="2:126" ht="15.75" customHeight="1" x14ac:dyDescent="0.25">
      <c r="B77" s="42"/>
      <c r="C77" s="23"/>
      <c r="D77" s="23"/>
      <c r="E77" s="23"/>
      <c r="F77" s="23"/>
      <c r="G77" s="23"/>
      <c r="H77" s="178"/>
      <c r="I77" s="178"/>
      <c r="J77" s="23"/>
      <c r="K77" s="23"/>
      <c r="L77" s="33"/>
      <c r="M77" s="42"/>
      <c r="N77" s="23"/>
      <c r="O77" s="23"/>
      <c r="P77" s="23"/>
      <c r="Q77" s="23"/>
      <c r="R77" s="23"/>
      <c r="S77" s="23"/>
      <c r="T77" s="23"/>
      <c r="U77" s="23"/>
      <c r="V77" s="36" t="str">
        <f>AT77</f>
        <v>Minimum Trench Length</v>
      </c>
      <c r="W77" s="23"/>
      <c r="X77" s="23"/>
      <c r="Y77" s="603">
        <f>AU77</f>
        <v>15.333333333333334</v>
      </c>
      <c r="Z77" s="603"/>
      <c r="AA77" s="23" t="str">
        <f>AX77</f>
        <v>ft</v>
      </c>
      <c r="AB77" s="23"/>
      <c r="AC77" s="23"/>
      <c r="AD77" s="23"/>
      <c r="AE77" s="23"/>
      <c r="AF77" s="23"/>
      <c r="AG77" s="23"/>
      <c r="AH77" s="23"/>
      <c r="AI77" s="37"/>
      <c r="AJ77" s="23"/>
      <c r="AK77" s="33"/>
      <c r="AM77" s="42"/>
      <c r="AN77" s="23"/>
      <c r="AO77" s="36"/>
      <c r="AP77" s="36"/>
      <c r="AQ77" s="36"/>
      <c r="AR77" s="179"/>
      <c r="AS77" s="37"/>
      <c r="AT77" s="179" t="s">
        <v>164</v>
      </c>
      <c r="AU77" s="487">
        <f>IF(H37=1,                      CN43,             IF(H37=3,                            IF(AND(CN43&gt;CN99,CN43&gt;CN154),            CN43,                  IF(AND(CN99&gt;CN154,CN99&gt;CN43),             CN99,                     CN154)),                        IF(H37=2,          IF(AND(CN45&gt;CN98,CN45&gt;CN155),             CN45,           IF(AND(CN98&gt;CN155,CN98&gt;CN45),             CN98,            CN155)),           IF(AND(CN45&gt;CN98,CN45&gt;CN155,CN45&gt;CN194),        CN45,         IF(AND(CN98&gt;CN45,CN98&gt;CN155,CN98&gt;CN194),         CN98,                  IF(AND(CN155&gt;CN45,CN155&gt;CN98,CN155&gt;CN194),       CN155,         CN194))))))</f>
        <v>15.333333333333334</v>
      </c>
      <c r="AV77" s="487"/>
      <c r="AW77" s="487"/>
      <c r="AX77" s="37" t="str">
        <f>IF(H15="Imperial",    "ft",       "m")</f>
        <v>ft</v>
      </c>
      <c r="AY77" s="41"/>
      <c r="AZ77" s="41"/>
      <c r="BA77" s="33"/>
      <c r="BC77" s="451"/>
      <c r="BD77" s="436"/>
      <c r="BE77" s="436"/>
      <c r="BF77" s="436"/>
      <c r="BG77" s="436"/>
      <c r="BH77" s="436"/>
      <c r="BI77" s="436"/>
      <c r="BJ77" s="436"/>
      <c r="BK77" s="436"/>
      <c r="BL77" s="436"/>
      <c r="BM77" s="436"/>
      <c r="BN77" s="436"/>
      <c r="BO77" s="436"/>
      <c r="BP77" s="436"/>
      <c r="BQ77" s="436"/>
      <c r="BR77" s="449"/>
      <c r="BV77" s="458"/>
      <c r="BW77" s="127" t="str">
        <f>IF($H$15="Imperial","Width (in)","Width (mm)")</f>
        <v>Width (in)</v>
      </c>
      <c r="BX77" s="350">
        <f>SUMIFS($BY$166:$BY$199,$BW$166:$BW$199,$H$19,$BX$166:$BX$199,$BW77)</f>
        <v>80</v>
      </c>
      <c r="BY77" s="127">
        <f>IF(H15="Imperial",                 BX77+($H$45/2)+(H55),              BX77+($H$45/2)+(H55))</f>
        <v>95</v>
      </c>
      <c r="BZ77" s="127">
        <f>BX77+$H$45</f>
        <v>86</v>
      </c>
      <c r="CA77" s="128"/>
      <c r="CB77" s="127"/>
      <c r="CC77" s="350">
        <f>SUMIFS($BZ$166:$BZ$199,$BW$166:$BW$199,$H$19,$BX$166:$BX$199,$BW77)</f>
        <v>80</v>
      </c>
      <c r="CD77" s="127">
        <f>IF(H15="Imperial",               CC77+($H$45/2)+(H55),                CC77+($H$45/2)+(H55))</f>
        <v>95</v>
      </c>
      <c r="CE77" s="127">
        <f>CC77+$H$45</f>
        <v>86</v>
      </c>
      <c r="CF77" s="128"/>
      <c r="CG77" s="127"/>
      <c r="CJ77" s="501" t="s">
        <v>42</v>
      </c>
      <c r="CK77" s="508" t="s">
        <v>43</v>
      </c>
      <c r="CL77" s="501" t="s">
        <v>44</v>
      </c>
      <c r="CM77" s="501" t="s">
        <v>45</v>
      </c>
      <c r="CN77" s="501" t="s">
        <v>46</v>
      </c>
      <c r="CP77" s="519" t="s">
        <v>29</v>
      </c>
      <c r="CQ77" s="519"/>
      <c r="CR77" s="519"/>
      <c r="CS77" s="519"/>
      <c r="CT77" s="519"/>
      <c r="CU77" s="519"/>
      <c r="CV77" s="519"/>
      <c r="CW77" s="519"/>
      <c r="CX77" s="519"/>
      <c r="CY77" s="495"/>
      <c r="CZ77" s="495"/>
      <c r="DB77" s="7"/>
      <c r="DC77" s="7"/>
      <c r="DD77" s="7"/>
      <c r="DE77" s="7"/>
      <c r="DF77" s="7"/>
      <c r="DG77" s="7"/>
      <c r="DH77" s="6"/>
      <c r="DI77" s="6"/>
      <c r="DJ77" s="7"/>
      <c r="DK77" s="7"/>
      <c r="DL77" s="291"/>
      <c r="DM77" s="1"/>
      <c r="DN77" s="5"/>
      <c r="DO77" s="2"/>
      <c r="DP77" s="2"/>
      <c r="DR77" s="16"/>
      <c r="DS77" s="16"/>
      <c r="DT77" s="16"/>
      <c r="DU77" s="9"/>
      <c r="DV77" s="9"/>
    </row>
    <row r="78" spans="2:126" ht="0.75" customHeight="1" x14ac:dyDescent="0.25">
      <c r="B78" s="42"/>
      <c r="C78" s="23"/>
      <c r="D78" s="23"/>
      <c r="E78" s="23"/>
      <c r="F78" s="23"/>
      <c r="G78" s="23"/>
      <c r="H78" s="178"/>
      <c r="I78" s="178"/>
      <c r="J78" s="23"/>
      <c r="K78" s="23"/>
      <c r="L78" s="33"/>
      <c r="M78" s="42"/>
      <c r="N78" s="23"/>
      <c r="O78" s="23"/>
      <c r="P78" s="23"/>
      <c r="Q78" s="23"/>
      <c r="R78" s="23"/>
      <c r="S78" s="23"/>
      <c r="T78" s="23"/>
      <c r="U78" s="23"/>
      <c r="V78" s="35"/>
      <c r="W78" s="23"/>
      <c r="X78" s="23"/>
      <c r="Y78" s="242"/>
      <c r="Z78" s="242"/>
      <c r="AA78" s="23"/>
      <c r="AB78" s="23"/>
      <c r="AC78" s="23"/>
      <c r="AD78" s="23"/>
      <c r="AE78" s="23"/>
      <c r="AF78" s="23"/>
      <c r="AG78" s="23"/>
      <c r="AH78" s="23"/>
      <c r="AI78" s="23"/>
      <c r="AJ78" s="23"/>
      <c r="AK78" s="33"/>
      <c r="AM78" s="42"/>
      <c r="AN78" s="23"/>
      <c r="AO78" s="23"/>
      <c r="AP78" s="23"/>
      <c r="AQ78" s="23"/>
      <c r="AR78" s="37"/>
      <c r="AS78" s="37"/>
      <c r="AT78" s="37"/>
      <c r="AU78" s="211"/>
      <c r="AV78" s="211"/>
      <c r="AW78" s="211"/>
      <c r="AX78" s="37"/>
      <c r="AY78" s="23"/>
      <c r="AZ78" s="23"/>
      <c r="BA78" s="33"/>
      <c r="BC78" s="452"/>
      <c r="BD78" s="437"/>
      <c r="BE78" s="437"/>
      <c r="BF78" s="437"/>
      <c r="BG78" s="437"/>
      <c r="BH78" s="437"/>
      <c r="BI78" s="437"/>
      <c r="BJ78" s="437"/>
      <c r="BK78" s="437"/>
      <c r="BL78" s="437"/>
      <c r="BM78" s="437"/>
      <c r="BN78" s="437"/>
      <c r="BO78" s="437"/>
      <c r="BP78" s="437"/>
      <c r="BQ78" s="437"/>
      <c r="BR78" s="450"/>
      <c r="BV78" s="458"/>
      <c r="BW78" s="127"/>
      <c r="BX78" s="127"/>
      <c r="BY78" s="127"/>
      <c r="BZ78" s="127"/>
      <c r="CA78" s="128"/>
      <c r="CB78" s="127"/>
      <c r="CC78" s="127"/>
      <c r="CD78" s="127"/>
      <c r="CE78" s="127"/>
      <c r="CF78" s="128"/>
      <c r="CG78" s="127"/>
      <c r="CJ78" s="501"/>
      <c r="CK78" s="508"/>
      <c r="CL78" s="501"/>
      <c r="CM78" s="501"/>
      <c r="CN78" s="501"/>
      <c r="CP78" s="519"/>
      <c r="CQ78" s="519"/>
      <c r="CR78" s="519"/>
      <c r="CS78" s="519"/>
      <c r="CT78" s="519"/>
      <c r="CU78" s="519"/>
      <c r="CV78" s="519"/>
      <c r="CW78" s="519"/>
      <c r="CX78" s="519"/>
      <c r="CY78" s="493" t="s">
        <v>34</v>
      </c>
      <c r="CZ78" s="493" t="s">
        <v>35</v>
      </c>
      <c r="DB78" s="7"/>
      <c r="DC78" s="7"/>
      <c r="DD78" s="7"/>
      <c r="DE78" s="7"/>
      <c r="DF78" s="7"/>
      <c r="DG78" s="7"/>
      <c r="DH78" s="6"/>
      <c r="DI78" s="6"/>
      <c r="DJ78" s="7"/>
      <c r="DK78" s="7"/>
      <c r="DL78" s="249"/>
      <c r="DM78" s="1"/>
      <c r="DN78" s="5"/>
      <c r="DO78" s="3"/>
      <c r="DP78" s="3"/>
      <c r="DR78" s="16"/>
      <c r="DS78" s="16"/>
      <c r="DT78" s="16"/>
      <c r="DU78" s="9"/>
      <c r="DV78" s="9"/>
    </row>
    <row r="79" spans="2:126" ht="15.75" customHeight="1" x14ac:dyDescent="0.25">
      <c r="B79" s="42"/>
      <c r="C79" s="23"/>
      <c r="D79" s="23"/>
      <c r="E79" s="23"/>
      <c r="F79" s="23"/>
      <c r="G79" s="23"/>
      <c r="H79" s="178"/>
      <c r="I79" s="178"/>
      <c r="J79" s="23"/>
      <c r="K79" s="23"/>
      <c r="L79" s="33"/>
      <c r="M79" s="42"/>
      <c r="N79" s="23"/>
      <c r="O79" s="23"/>
      <c r="P79" s="23"/>
      <c r="Q79" s="23"/>
      <c r="R79" s="23"/>
      <c r="S79" s="23"/>
      <c r="T79" s="23"/>
      <c r="U79" s="23"/>
      <c r="V79" s="36" t="str">
        <f>AT79</f>
        <v>Minimum Trench Width</v>
      </c>
      <c r="W79" s="23"/>
      <c r="X79" s="23"/>
      <c r="Y79" s="603">
        <f>AU79</f>
        <v>8.6666666666666661</v>
      </c>
      <c r="Z79" s="603"/>
      <c r="AA79" s="23" t="str">
        <f>AX79</f>
        <v>ft</v>
      </c>
      <c r="AB79" s="23"/>
      <c r="AC79" s="23"/>
      <c r="AD79" s="23"/>
      <c r="AE79" s="23"/>
      <c r="AF79" s="23"/>
      <c r="AG79" s="23"/>
      <c r="AH79" s="23"/>
      <c r="AI79" s="23"/>
      <c r="AJ79" s="23"/>
      <c r="AK79" s="33"/>
      <c r="AM79" s="42"/>
      <c r="AN79" s="178"/>
      <c r="AO79" s="178"/>
      <c r="AP79" s="178"/>
      <c r="AQ79" s="178"/>
      <c r="AR79" s="37"/>
      <c r="AS79" s="37"/>
      <c r="AT79" s="179" t="s">
        <v>165</v>
      </c>
      <c r="AU79" s="487">
        <f>IF(H37=1,                 CN45,          IF(H37=3,                IF(AND(CN45&gt;CN98,CN45&gt;CN155),             CN45,                        IF(AND(CN98&gt;CN155,CN98&gt;CN45),           CN98,                    CN155)),                                                                                                IF(H37=2,       IF(AND(CN43&gt;CN99,CN43&gt;CN154),       CN43,        IF(AND(CN99&gt;CN154,CN99&gt;CN43),     CN99,     CN154)),            IF(AND(CN43&gt;CN99,CN43&gt;CN154,CN43&gt;CN195),        CN43,                            IF(AND(CN99&gt;CN154,CN99&gt;CN43,CN99&gt;CN195),       CN99,         IF(AND(CN154&gt;CN43,CN154&gt;CN99,CN154&gt;CN195),         CN154,         CN195))))))</f>
        <v>8.6666666666666661</v>
      </c>
      <c r="AV79" s="487"/>
      <c r="AW79" s="487"/>
      <c r="AX79" s="37" t="str">
        <f>IF(H15="Imperial",    "ft",       "m")</f>
        <v>ft</v>
      </c>
      <c r="AY79" s="41"/>
      <c r="AZ79" s="41"/>
      <c r="BA79" s="33"/>
      <c r="BC79" s="451"/>
      <c r="BD79" s="436"/>
      <c r="BE79" s="436"/>
      <c r="BF79" s="436"/>
      <c r="BG79" s="436"/>
      <c r="BH79" s="436"/>
      <c r="BI79" s="436"/>
      <c r="BJ79" s="436"/>
      <c r="BK79" s="436"/>
      <c r="BL79" s="436"/>
      <c r="BM79" s="436"/>
      <c r="BN79" s="436"/>
      <c r="BO79" s="436"/>
      <c r="BP79" s="436"/>
      <c r="BQ79" s="436"/>
      <c r="BR79" s="449"/>
      <c r="BV79" s="458"/>
      <c r="BW79" s="127" t="str">
        <f>IF($H$15="Imperial","Installed Length (in)","Installed Length (mm)")</f>
        <v>Installed Length (in)</v>
      </c>
      <c r="BX79" s="350">
        <f>SUMIFS($BY$166:$BY$199,$BW$166:$BW$199,$H$19,$BX$166:$BX$199,$BW79)</f>
        <v>80</v>
      </c>
      <c r="BY79" s="127">
        <f>IF(H15="Imperial",                 BX79+(H55),                BX79+(H55))</f>
        <v>92</v>
      </c>
      <c r="BZ79" s="127">
        <f>IF(H15="Imperial",            BX79+(H55),                 BX79+(H55))</f>
        <v>92</v>
      </c>
      <c r="CA79" s="128"/>
      <c r="CB79" s="127"/>
      <c r="CC79" s="350">
        <f>SUMIFS($BZ$166:$BZ$199,$BW$166:$BW$199,$H$19,$BX$166:$BX$199,$BW79)</f>
        <v>74</v>
      </c>
      <c r="CD79" s="127">
        <f>CC79</f>
        <v>74</v>
      </c>
      <c r="CE79" s="127">
        <f>CC79</f>
        <v>74</v>
      </c>
      <c r="CF79" s="128"/>
      <c r="CG79" s="127"/>
      <c r="CJ79" s="501"/>
      <c r="CK79" s="138">
        <f>IF(CP81=0,      0,            IF(CS115=0,       0,           IF(CS115=1,                 IF(CS119=1,       1,    2),                IF(CS115&lt;=CS114,            IF(CS119=1,       2,       4),                                                                    IF(CS116=1,          IF(CS119=1,            1,         IF(CS119=2,       3,     4)),       IF(CS119=1,          2,        4))))))</f>
        <v>0</v>
      </c>
      <c r="CL79" s="138">
        <f>IF(CK79=0,                 0,                   IF(CK79=1,                  BY19+BY21,                       IF(CK79=2,                       IF(CN92=1,                     CF19+CF21,                         CC19+CC21),                        IF(CK79=3,                                                    IF(H15="Imperial",                                                CC19+BY19+(((BY75*(BY5+H55)*(H55-(H45/2)))/1728)*(H33/100))+(((BY75*(BX77+H45)*H55)/1728)*(H33/100)),                                                                                                                   CC19+BY19+(((BY75*(BY5+H55)*(H55-(H45/2)))/1000000000)*(H33/100))+(((BY75*(BX77+H45)*H55)/1000000000)*(H33/100))),                       BY81*4))))</f>
        <v>0</v>
      </c>
      <c r="CM79" s="138">
        <f>IF(CK79=0,           0,            IF(CK79=1,                 BY7,                IF(CK79=2,               IF(CN92=1,             CC7,             CF7),          IF(CK79=3,         (2*BX81)+BY7,             4*BX81))))</f>
        <v>0</v>
      </c>
      <c r="CN79" s="138">
        <f>CL79+CM79</f>
        <v>0</v>
      </c>
      <c r="CP79" s="494" t="str">
        <f>IF($H$15="Imperial",       "Required Cubic Feet",       "Required Cubic Meters")</f>
        <v>Required Cubic Feet</v>
      </c>
      <c r="CQ79" s="494" t="str">
        <f>IF($H$15="Imperial",       "Required Cubic Inches",       "Required Cubic mm")</f>
        <v>Required Cubic Inches</v>
      </c>
      <c r="CR79" s="494" t="str">
        <f>IF(CS2=1,       "Constraint Dimension (Width)",       "Constraint Dimension (Length)")</f>
        <v>Constraint Dimension (Length)</v>
      </c>
      <c r="CS79" s="494" t="str">
        <f>IF(CS2=1,       "(Constraint Width-2endR Width)/midR Width",       "(Constriant Length-2endC length)/midC length")</f>
        <v>(Constriant Length-2endC length)/midC length</v>
      </c>
      <c r="CT79" s="494"/>
      <c r="CU79" s="494" t="str">
        <f>IF(CS2=1,       "RoundDown for Maximum Number of midR",       "RoundDown for Maximum Number of midCs per Row")</f>
        <v>RoundDown for Maximum Number of midCs per Row</v>
      </c>
      <c r="CV79" s="494"/>
      <c r="CW79" s="494" t="str">
        <f>IF(CS2=1,       "Max suggested Number of Rows",      "Maximum Number of Chambers per Row")</f>
        <v>Maximum Number of Chambers per Row</v>
      </c>
      <c r="CX79" s="494"/>
      <c r="CY79" s="493"/>
      <c r="CZ79" s="493"/>
      <c r="DB79" s="6"/>
      <c r="DC79" s="6"/>
      <c r="DD79" s="6"/>
      <c r="DE79" s="6"/>
      <c r="DF79" s="6"/>
      <c r="DG79" s="6"/>
      <c r="DH79" s="6"/>
      <c r="DI79" s="6"/>
      <c r="DJ79" s="6"/>
      <c r="DK79" s="6"/>
      <c r="DL79" s="291"/>
      <c r="DM79" s="1"/>
      <c r="DN79" s="1"/>
      <c r="DQ79" s="9"/>
    </row>
    <row r="80" spans="2:126" ht="1.5" hidden="1" customHeight="1" x14ac:dyDescent="0.25">
      <c r="B80" s="42"/>
      <c r="C80" s="23"/>
      <c r="D80" s="23"/>
      <c r="E80" s="23"/>
      <c r="F80" s="23"/>
      <c r="G80" s="23"/>
      <c r="H80" s="178"/>
      <c r="I80" s="178"/>
      <c r="J80" s="23"/>
      <c r="K80" s="23"/>
      <c r="L80" s="33"/>
      <c r="M80" s="42"/>
      <c r="N80" s="23"/>
      <c r="O80" s="23"/>
      <c r="P80" s="23"/>
      <c r="Q80" s="23"/>
      <c r="R80" s="23"/>
      <c r="S80" s="23"/>
      <c r="T80" s="23"/>
      <c r="U80" s="23"/>
      <c r="V80" s="36"/>
      <c r="W80" s="23"/>
      <c r="X80" s="23"/>
      <c r="Y80" s="242"/>
      <c r="Z80" s="242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33"/>
      <c r="AM80" s="42"/>
      <c r="AN80" s="178"/>
      <c r="AO80" s="178"/>
      <c r="AP80" s="178"/>
      <c r="AQ80" s="178"/>
      <c r="AR80" s="37"/>
      <c r="AS80" s="37"/>
      <c r="AT80" s="179"/>
      <c r="AU80" s="294"/>
      <c r="AV80" s="294"/>
      <c r="AW80" s="294"/>
      <c r="AX80" s="37"/>
      <c r="AY80" s="41"/>
      <c r="AZ80" s="41"/>
      <c r="BA80" s="33"/>
      <c r="BC80" s="452"/>
      <c r="BD80" s="437"/>
      <c r="BE80" s="437"/>
      <c r="BF80" s="437"/>
      <c r="BG80" s="437"/>
      <c r="BH80" s="437"/>
      <c r="BI80" s="437"/>
      <c r="BJ80" s="437"/>
      <c r="BK80" s="437"/>
      <c r="BL80" s="437"/>
      <c r="BM80" s="437"/>
      <c r="BN80" s="437"/>
      <c r="BO80" s="437"/>
      <c r="BP80" s="437"/>
      <c r="BQ80" s="437"/>
      <c r="BR80" s="450"/>
      <c r="BV80" s="458"/>
      <c r="BW80" s="127"/>
      <c r="BX80" s="127"/>
      <c r="BY80" s="127"/>
      <c r="BZ80" s="127"/>
      <c r="CA80" s="128"/>
      <c r="CB80" s="127"/>
      <c r="CC80" s="127"/>
      <c r="CD80" s="127"/>
      <c r="CE80" s="127"/>
      <c r="CF80" s="128"/>
      <c r="CG80" s="127"/>
      <c r="CJ80" s="501" t="s">
        <v>51</v>
      </c>
      <c r="CK80" s="508" t="s">
        <v>43</v>
      </c>
      <c r="CL80" s="501" t="s">
        <v>44</v>
      </c>
      <c r="CM80" s="501" t="s">
        <v>45</v>
      </c>
      <c r="CN80" s="501" t="s">
        <v>46</v>
      </c>
      <c r="CP80" s="494"/>
      <c r="CQ80" s="494"/>
      <c r="CR80" s="494"/>
      <c r="CS80" s="494"/>
      <c r="CT80" s="494"/>
      <c r="CU80" s="494"/>
      <c r="CV80" s="494"/>
      <c r="CW80" s="494"/>
      <c r="CX80" s="494"/>
      <c r="CY80" s="499">
        <f>IF(CS2=1,         IF(H15="Imperial",          IF(CW81=1,    (BY77+H55-(H45/2))/12,   ((2*BY77)+((CW81-2)*BZ77))/12),             IF(CW81=1,        (BY77+H55-(H45/2))/1000,      ((2*BY77)+((CW81-2)*BZ77))/1000)),                                     IF(H15="Imperial",          IF(CT88=1,     (BY77+H55-(H45/2))/12,      ((2*BY77)+((CT88-2)*BZ77))/12),             IF(CT88=1,        (BY77+H55-(H45/2))/1000,      ((2*BY77)+((CT88-2)*BZ77))/1000)))</f>
        <v>8.6666666666666661</v>
      </c>
      <c r="CZ80" s="499">
        <f>IF(CS2=1,         "N/A",             IF(H15="Imperial",               IF(CW81=1,        (BY5+H55+H55)/12,           ((2*BY79)+((CW81-2)*CD79))/12),                                                                                                                                                              IF(CW81=1,                                                   (BY5+H55+H55)/1000,      ((2*BY79)+((CW81-2)*CD79))/1000)))</f>
        <v>9.25</v>
      </c>
      <c r="DB80" s="6"/>
      <c r="DC80" s="6"/>
      <c r="DD80" s="6"/>
      <c r="DE80" s="6"/>
      <c r="DF80" s="6"/>
      <c r="DG80" s="6"/>
      <c r="DH80" s="6"/>
      <c r="DI80" s="6"/>
      <c r="DJ80" s="6"/>
      <c r="DK80" s="6"/>
      <c r="DL80" s="12"/>
      <c r="DM80" s="1"/>
      <c r="DN80" s="1"/>
      <c r="DQ80" s="9"/>
    </row>
    <row r="81" spans="2:128" ht="15.75" x14ac:dyDescent="0.25">
      <c r="B81" s="42"/>
      <c r="C81" s="23"/>
      <c r="D81" s="23"/>
      <c r="E81" s="23"/>
      <c r="F81" s="23"/>
      <c r="G81" s="23"/>
      <c r="H81" s="178"/>
      <c r="I81" s="178"/>
      <c r="J81" s="23"/>
      <c r="K81" s="23"/>
      <c r="L81" s="33"/>
      <c r="M81" s="42"/>
      <c r="N81" s="23"/>
      <c r="O81" s="23"/>
      <c r="P81" s="23"/>
      <c r="Q81" s="23"/>
      <c r="R81" s="23"/>
      <c r="S81" s="23"/>
      <c r="T81" s="23"/>
      <c r="U81" s="23"/>
      <c r="V81" s="36" t="str">
        <f>AT81</f>
        <v>System Depth</v>
      </c>
      <c r="W81" s="23"/>
      <c r="X81" s="23"/>
      <c r="Y81" s="603">
        <f>AU81</f>
        <v>5.166666666666667</v>
      </c>
      <c r="Z81" s="603"/>
      <c r="AA81" s="23" t="str">
        <f>AX81</f>
        <v>ft</v>
      </c>
      <c r="AB81" s="23"/>
      <c r="AC81" s="23"/>
      <c r="AD81" s="23"/>
      <c r="AE81" s="23"/>
      <c r="AF81" s="23"/>
      <c r="AG81" s="23"/>
      <c r="AH81" s="23"/>
      <c r="AI81" s="23"/>
      <c r="AJ81" s="23"/>
      <c r="AK81" s="33"/>
      <c r="AM81" s="42"/>
      <c r="AN81" s="178"/>
      <c r="AO81" s="178"/>
      <c r="AP81" s="178"/>
      <c r="AQ81" s="178"/>
      <c r="AR81" s="37"/>
      <c r="AS81" s="37"/>
      <c r="AT81" s="179" t="s">
        <v>166</v>
      </c>
      <c r="AU81" s="487">
        <f>IF(H15="Imperial",              IF(H37=1,                (H29+H27+BX61)/12,                     (H29+H27+(H37*BX61)+((H37-1)*H39))/12),                                                                                                                                                                                  IF(H37=1,                                                                   (H29+H27+BX61)/1000,                (H29+H27+(H37*BX61)+((H37-1)*H39))/1000))</f>
        <v>5.166666666666667</v>
      </c>
      <c r="AV81" s="487"/>
      <c r="AW81" s="487"/>
      <c r="AX81" s="37" t="str">
        <f>IF(H15="Imperial",    "ft",       "m")</f>
        <v>ft</v>
      </c>
      <c r="AY81" s="41"/>
      <c r="AZ81" s="41"/>
      <c r="BA81" s="33"/>
      <c r="BC81" s="330"/>
      <c r="BD81" s="331"/>
      <c r="BE81" s="331"/>
      <c r="BF81" s="331"/>
      <c r="BG81" s="331"/>
      <c r="BH81" s="331"/>
      <c r="BI81" s="331"/>
      <c r="BJ81" s="331"/>
      <c r="BK81" s="331"/>
      <c r="BL81" s="331"/>
      <c r="BM81" s="331"/>
      <c r="BN81" s="331"/>
      <c r="BO81" s="331"/>
      <c r="BP81" s="331"/>
      <c r="BQ81" s="331"/>
      <c r="BR81" s="332"/>
      <c r="BV81" s="458"/>
      <c r="BW81" s="127" t="str">
        <f>IF($H$15="Imperial","Storage Volume (ft²)","Storage Volume (m²)")</f>
        <v>Storage Volume (ft²)</v>
      </c>
      <c r="BX81" s="350">
        <f>SUMIFS($BY$166:$BY$199,$BW$166:$BW$199,$H$19,$BX$166:$BX$199,$BW81)</f>
        <v>93.05</v>
      </c>
      <c r="BY81" s="127">
        <f>IF($H$15="Imperial",            ((((BY75*BY77*BY79)/1728)-BX81)*($H$33/100)),          ((((BY75*BY77*BY79)/1000000000)-BX81)*($H$33/100)))</f>
        <v>-37.22</v>
      </c>
      <c r="BZ81" s="127">
        <f>IF($H$15="Imperial",                  ((((BZ75*BZ77*BZ79)/1728)-BX81)*($H$33/100)),                       ((((BZ75*BZ77*BZ79)/1000000000)-BX81)*($H$33/100)))</f>
        <v>-37.22</v>
      </c>
      <c r="CA81" s="127">
        <f>BX81+BY81</f>
        <v>55.83</v>
      </c>
      <c r="CB81" s="127">
        <f>BX81+BZ81</f>
        <v>55.83</v>
      </c>
      <c r="CC81" s="350">
        <f>SUMIFS($BZ$166:$BZ$199,$BW$166:$BW$199,$H$19,$BX$166:$BX$199,$BW81)</f>
        <v>88</v>
      </c>
      <c r="CD81" s="127">
        <f>IF($H$15="Imperial",              ((((CD75*CD77*CD79)/1728)-CC81)*($H$33/100)),                ((((CD75*CD77*CD79)/1000000000)-CC81)*($H$33/100)))</f>
        <v>-35.200000000000003</v>
      </c>
      <c r="CE81" s="127">
        <f>IF($H$15="Imperial",                  ((((CE75*CE77*CE79)/1728)-CC81)*($H$33/100)),              ((((CE75*CE77*CE79)/1000000000)-CC81)*($H$33/100)))</f>
        <v>-35.200000000000003</v>
      </c>
      <c r="CF81" s="127">
        <f>CC81+CD81</f>
        <v>52.8</v>
      </c>
      <c r="CG81" s="127">
        <f>CC81+CE81</f>
        <v>52.8</v>
      </c>
      <c r="CJ81" s="501"/>
      <c r="CK81" s="508"/>
      <c r="CL81" s="501"/>
      <c r="CM81" s="501"/>
      <c r="CN81" s="501"/>
      <c r="CP81" s="495">
        <f>IF($H$37=1,       0,           IF(H17-CN153&lt;=0,       0,          IF($H$37=2,      H17/2,               IF($H$37=3,       ($H$17-CN153)/2,        IF(H37=4,        (H17-CN153-CN193)/2,         0)))))</f>
        <v>0</v>
      </c>
      <c r="CQ81" s="502">
        <f>IF($H$15="Imperial",         CP81*1728,        CP81*1000000000)</f>
        <v>0</v>
      </c>
      <c r="CR81" s="495">
        <f>IF(H37=1,            0,            IF(H37=2,          H25,      IF(H37=4,        IF(CS2=1,         CN195,      CN194),         IF(CS2=1,         CN154,         CN155))))</f>
        <v>0</v>
      </c>
      <c r="CS81" s="495">
        <f>IF($H$15="Imperial",                    IF(CS2=1,              ((CR81*12)-(2*BY77))/BZ77,                                    ((CR81*12)-(2*BY79))/CD79),                                                                                                                                                                            IF(CS2=1,                                                                                                                     ((CR81*1000)-(2*BY77))/BZ77,                                ((CR81*1000)-(2*BY79))/CD79))</f>
        <v>-2.4864864864864864</v>
      </c>
      <c r="CT81" s="495"/>
      <c r="CU81" s="495">
        <f>IF(CS81&lt;0,        0,          ROUNDDOWN(CS81,0))</f>
        <v>0</v>
      </c>
      <c r="CV81" s="495"/>
      <c r="CW81" s="495">
        <f>IF(CP81&lt;=BY23,     1,    IF(H15="Imperial",      IF(CS2=1,         IF(CR81&lt;(((2*BY77)/12)),      1,     CU81+2),           IF(CR81&lt;(((2*BY79)/12)),      1,    CU81+2)),                                                                                        IF(CS2=1,                                                                                                       IF(CR81&lt;(((2*BY77)/1000)),     1,     CU81+2),             IF(CR81&lt;(((2*BY79)/1000)),       1,     CU81+2))))</f>
        <v>1</v>
      </c>
      <c r="CX81" s="495"/>
      <c r="CY81" s="499"/>
      <c r="CZ81" s="499"/>
      <c r="DB81" s="7"/>
      <c r="DC81" s="7"/>
      <c r="DD81" s="7"/>
      <c r="DE81" s="7"/>
      <c r="DF81" s="7"/>
      <c r="DG81" s="7"/>
      <c r="DH81" s="7"/>
      <c r="DI81" s="9"/>
      <c r="DJ81" s="9"/>
      <c r="DK81" s="9"/>
      <c r="DL81" s="12"/>
      <c r="DM81" s="1"/>
      <c r="DN81" s="16"/>
      <c r="DO81" s="5"/>
      <c r="DP81" s="5"/>
      <c r="DQ81" s="5"/>
    </row>
    <row r="82" spans="2:128" ht="15.75" x14ac:dyDescent="0.25">
      <c r="B82" s="42"/>
      <c r="C82" s="23"/>
      <c r="D82" s="23"/>
      <c r="E82" s="23"/>
      <c r="F82" s="23"/>
      <c r="G82" s="23"/>
      <c r="H82" s="178"/>
      <c r="I82" s="178"/>
      <c r="J82" s="23"/>
      <c r="K82" s="23"/>
      <c r="L82" s="33"/>
      <c r="M82" s="42"/>
      <c r="N82" s="23"/>
      <c r="O82" s="23"/>
      <c r="P82" s="23"/>
      <c r="Q82" s="23"/>
      <c r="R82" s="23"/>
      <c r="S82" s="23"/>
      <c r="T82" s="23"/>
      <c r="U82" s="23"/>
      <c r="V82" s="36" t="str">
        <f>AT82</f>
        <v>Trench Depth</v>
      </c>
      <c r="W82" s="23"/>
      <c r="X82" s="23"/>
      <c r="Y82" s="603">
        <f>AU82</f>
        <v>6</v>
      </c>
      <c r="Z82" s="603"/>
      <c r="AA82" s="23" t="str">
        <f>AX82</f>
        <v>ft</v>
      </c>
      <c r="AB82" s="23"/>
      <c r="AC82" s="23"/>
      <c r="AD82" s="23"/>
      <c r="AE82" s="23"/>
      <c r="AF82" s="23"/>
      <c r="AG82" s="23"/>
      <c r="AH82" s="23"/>
      <c r="AI82" s="23"/>
      <c r="AJ82" s="23"/>
      <c r="AK82" s="33"/>
      <c r="AM82" s="42"/>
      <c r="AN82" s="178"/>
      <c r="AO82" s="178"/>
      <c r="AP82" s="178"/>
      <c r="AQ82" s="178"/>
      <c r="AR82" s="37"/>
      <c r="AS82" s="37"/>
      <c r="AT82" s="179" t="s">
        <v>167</v>
      </c>
      <c r="AU82" s="487">
        <f>IF(H15="Imperial",          AU81-(H27/12)+(H31/12),           AU81-(H27/1000)+(H31/1000))</f>
        <v>6</v>
      </c>
      <c r="AV82" s="487"/>
      <c r="AW82" s="487"/>
      <c r="AX82" s="37" t="str">
        <f>IF(H15="Imperial",    "ft",       "m")</f>
        <v>ft</v>
      </c>
      <c r="AY82" s="41"/>
      <c r="AZ82" s="37"/>
      <c r="BA82" s="33"/>
      <c r="BC82" s="330"/>
      <c r="BD82" s="331"/>
      <c r="BE82" s="331"/>
      <c r="BF82" s="331"/>
      <c r="BG82" s="331"/>
      <c r="BH82" s="331"/>
      <c r="BI82" s="331"/>
      <c r="BJ82" s="331"/>
      <c r="BK82" s="331"/>
      <c r="BL82" s="331"/>
      <c r="BM82" s="331"/>
      <c r="BN82" s="331"/>
      <c r="BO82" s="331"/>
      <c r="BP82" s="331"/>
      <c r="BQ82" s="331"/>
      <c r="BR82" s="332"/>
      <c r="BV82" s="458"/>
      <c r="BW82" s="127"/>
      <c r="BX82" s="127"/>
      <c r="BY82" s="127"/>
      <c r="BZ82" s="127"/>
      <c r="CA82" s="127"/>
      <c r="CB82" s="127"/>
      <c r="CC82" s="127"/>
      <c r="CD82" s="127"/>
      <c r="CE82" s="127"/>
      <c r="CF82" s="127"/>
      <c r="CG82" s="127"/>
      <c r="CJ82" s="501"/>
      <c r="CK82" s="139">
        <f>IF(H37&lt;2,     0,         IF(CS115&lt;=1,        IF(CS119&lt;=2,       0,             CS110),          IF(CS115&lt;=CS114,       CS115*CS110,            IF(CS116=1,         CS110+CS100,        2*CS100))))</f>
        <v>0</v>
      </c>
      <c r="CL82" s="266">
        <f>CK82*CD81</f>
        <v>0</v>
      </c>
      <c r="CM82" s="272">
        <f>CK82*CC81</f>
        <v>0</v>
      </c>
      <c r="CN82" s="138">
        <f>IF(CK82=0,                   0,                     IF(CN92=1,                    IF(H15="Imperial",                    CL82+CM82+(CK82*((((H55-(H45/2))*CD75*CD79)/1728)*(H33/100))),                                                                                                             CL82+CM82+(CK82*((((H55-(H45/2))*CD75*CD79)/1000000000)*(H33/100)))),         CL82+CM82))</f>
        <v>0</v>
      </c>
      <c r="CP82" s="495"/>
      <c r="CQ82" s="502"/>
      <c r="CR82" s="495"/>
      <c r="CS82" s="495"/>
      <c r="CT82" s="495"/>
      <c r="CU82" s="495"/>
      <c r="CV82" s="495"/>
      <c r="CW82" s="495"/>
      <c r="CX82" s="495"/>
      <c r="CY82" s="159"/>
      <c r="CZ82" s="159"/>
      <c r="DB82" s="7"/>
      <c r="DC82" s="7"/>
      <c r="DD82" s="7"/>
      <c r="DE82" s="7"/>
      <c r="DF82" s="7"/>
      <c r="DG82" s="7"/>
      <c r="DH82" s="7"/>
      <c r="DI82" s="9"/>
      <c r="DJ82" s="9"/>
      <c r="DK82" s="9"/>
      <c r="DL82" s="291"/>
      <c r="DM82" s="1"/>
      <c r="DN82" s="16"/>
      <c r="DO82" s="5"/>
      <c r="DP82" s="5"/>
      <c r="DQ82" s="5"/>
    </row>
    <row r="83" spans="2:128" ht="15.75" customHeight="1" x14ac:dyDescent="0.25">
      <c r="B83" s="42"/>
      <c r="C83" s="23"/>
      <c r="D83" s="23"/>
      <c r="E83" s="23"/>
      <c r="F83" s="23"/>
      <c r="G83" s="23"/>
      <c r="H83" s="178"/>
      <c r="I83" s="178"/>
      <c r="J83" s="23"/>
      <c r="K83" s="23"/>
      <c r="L83" s="33"/>
      <c r="M83" s="42"/>
      <c r="N83" s="23"/>
      <c r="O83" s="23"/>
      <c r="P83" s="23"/>
      <c r="Q83" s="23"/>
      <c r="R83" s="23"/>
      <c r="S83" s="23"/>
      <c r="T83" s="23"/>
      <c r="U83" s="23"/>
      <c r="V83" s="36" t="str">
        <f>AT83</f>
        <v>Minimum Bed Size Required</v>
      </c>
      <c r="W83" s="23"/>
      <c r="X83" s="23"/>
      <c r="Y83" s="617">
        <f>AU83</f>
        <v>132.88888888888889</v>
      </c>
      <c r="Z83" s="617"/>
      <c r="AA83" s="618" t="str">
        <f>AX83</f>
        <v>Square Feet</v>
      </c>
      <c r="AB83" s="618"/>
      <c r="AC83" s="23"/>
      <c r="AD83" s="23"/>
      <c r="AE83" s="23"/>
      <c r="AF83" s="23"/>
      <c r="AG83" s="23"/>
      <c r="AH83" s="23"/>
      <c r="AI83" s="23"/>
      <c r="AJ83" s="23"/>
      <c r="AK83" s="33"/>
      <c r="AM83" s="42"/>
      <c r="AN83" s="23"/>
      <c r="AO83" s="36"/>
      <c r="AP83" s="36"/>
      <c r="AQ83" s="36"/>
      <c r="AR83" s="179"/>
      <c r="AS83" s="37"/>
      <c r="AT83" s="179" t="s">
        <v>168</v>
      </c>
      <c r="AU83" s="488">
        <f>IF(H37=1,     IF(AW33=0,             AU77*AU79,             IF(H15="Imperial",       IF((AT31+AT33)=2,         IF(AW31=1,         (AU77*AU79)-((AT31*(BY63*BY65))/144),                  (AU77*AU79)-((AT31*(CD63*CD65))/144)),               IF(AW31=1,         (AU77*AU79)-((AT31*(BZ63*BZ65))/144),                  (AU77*AU79)-((AT31*(CE63*CE65))/144))),                IF((AT31+AT33)=2,         IF(AW31=1,         (AU77*AU79)-((AT31*(BY63*BY65))/1000000),                  (AU77*AU79)-((AT31*(CD63*CD65))/1000000)),               IF(AW31=1,         (AU77*AU79)-((AT31*(BZ63*BZ65))/1000000),                  (AU77*AU79)-((AT31*(CE63*CE65))/1000000))))),        AU77*AU79)</f>
        <v>132.88888888888889</v>
      </c>
      <c r="AV83" s="488"/>
      <c r="AW83" s="488"/>
      <c r="AX83" s="37" t="str">
        <f>IF($H$15="Imperial","Square Feet", "Square Meters")</f>
        <v>Square Feet</v>
      </c>
      <c r="AY83" s="38"/>
      <c r="AZ83" s="23"/>
      <c r="BA83" s="33"/>
      <c r="BC83" s="333"/>
      <c r="BD83" s="334"/>
      <c r="BE83" s="334"/>
      <c r="BF83" s="334"/>
      <c r="BG83" s="334"/>
      <c r="BH83" s="334"/>
      <c r="BI83" s="334"/>
      <c r="BJ83" s="334"/>
      <c r="BK83" s="334"/>
      <c r="BL83" s="334"/>
      <c r="BM83" s="334"/>
      <c r="BN83" s="334"/>
      <c r="BO83" s="334"/>
      <c r="BP83" s="334"/>
      <c r="BQ83" s="334"/>
      <c r="BR83" s="335"/>
      <c r="BV83" s="517" t="s">
        <v>160</v>
      </c>
      <c r="BW83" s="517"/>
      <c r="BX83" s="517"/>
      <c r="BY83" s="127">
        <f>IF(H37=1,      0,       BY77*BY75*BY79)</f>
        <v>0</v>
      </c>
      <c r="BZ83" s="127">
        <f>IF(H37=1,       0,       BZ77*BZ75*BZ79)</f>
        <v>0</v>
      </c>
      <c r="CA83" s="130">
        <f>IF(H15="Imperial",           IF(H37=1,           0,          (CA81*1728)/BY83),           IF(H37=1,         0,          (CA81*1000000000)/BY83))</f>
        <v>0</v>
      </c>
      <c r="CB83" s="130">
        <f>IF(H15="Imperial",     IF(H37=1,       0,        (CB81*1728)/BZ83),          IF(H37=1,       0,           (CB81*1000000000)/BZ83))</f>
        <v>0</v>
      </c>
      <c r="CC83" s="127"/>
      <c r="CD83" s="127">
        <f>IF(H37=1,      0,      CD75*CD77*CD79)</f>
        <v>0</v>
      </c>
      <c r="CE83" s="127">
        <f>IF(H37=1,     0,         CE75*CE77*CE79)</f>
        <v>0</v>
      </c>
      <c r="CF83" s="127">
        <f>IF(H15="Imperial",        IF(H37=1,       0,          (CF81*1728)/CD83),        IF(H37=1,       0,        (CF81*1000000000)/CD83))</f>
        <v>0</v>
      </c>
      <c r="CG83" s="127">
        <f>IF(H15="Imperial",          IF(H37=1,       0,        (CG81*1728)/CE83),       IF(H37=1,         0,        (CG81*1000000000)/CE83))</f>
        <v>0</v>
      </c>
      <c r="CJ83" s="501" t="s">
        <v>61</v>
      </c>
      <c r="CK83" s="508" t="s">
        <v>43</v>
      </c>
      <c r="CL83" s="501" t="s">
        <v>44</v>
      </c>
      <c r="CM83" s="501" t="s">
        <v>45</v>
      </c>
      <c r="CN83" s="501" t="s">
        <v>46</v>
      </c>
      <c r="CP83" s="493" t="s">
        <v>52</v>
      </c>
      <c r="CQ83" s="493"/>
      <c r="CR83" s="493"/>
      <c r="CS83" s="493"/>
      <c r="CT83" s="493"/>
      <c r="CU83" s="493"/>
      <c r="CV83" s="493"/>
      <c r="CW83" s="493"/>
      <c r="CX83" s="493"/>
      <c r="CY83" s="159"/>
      <c r="CZ83" s="159"/>
      <c r="DB83" s="6"/>
      <c r="DC83" s="6"/>
      <c r="DD83" s="6"/>
      <c r="DE83" s="6"/>
      <c r="DF83" s="6"/>
      <c r="DG83" s="6"/>
      <c r="DH83" s="6"/>
      <c r="DI83" s="6"/>
      <c r="DJ83" s="9"/>
      <c r="DK83" s="9"/>
      <c r="DL83" s="12"/>
      <c r="DM83" s="5"/>
      <c r="DN83" s="9"/>
      <c r="DO83" s="1"/>
      <c r="DP83" s="9"/>
    </row>
    <row r="84" spans="2:128" ht="16.5" customHeight="1" x14ac:dyDescent="0.25">
      <c r="B84" s="60"/>
      <c r="C84" s="61"/>
      <c r="D84" s="61"/>
      <c r="E84" s="61"/>
      <c r="F84" s="61"/>
      <c r="G84" s="61"/>
      <c r="H84" s="206"/>
      <c r="I84" s="206"/>
      <c r="J84" s="61"/>
      <c r="K84" s="61"/>
      <c r="L84" s="62"/>
      <c r="M84" s="63"/>
      <c r="N84" s="64"/>
      <c r="O84" s="64"/>
      <c r="P84" s="64"/>
      <c r="Q84" s="64"/>
      <c r="R84" s="64"/>
      <c r="S84" s="64"/>
      <c r="T84" s="64"/>
      <c r="U84" s="64"/>
      <c r="V84" s="64"/>
      <c r="W84" s="64"/>
      <c r="X84" s="64"/>
      <c r="Y84" s="64"/>
      <c r="Z84" s="64"/>
      <c r="AA84" s="64"/>
      <c r="AB84" s="64"/>
      <c r="AC84" s="64"/>
      <c r="AD84" s="64"/>
      <c r="AE84" s="64"/>
      <c r="AF84" s="64"/>
      <c r="AG84" s="64"/>
      <c r="AH84" s="64"/>
      <c r="AI84" s="64"/>
      <c r="AJ84" s="64"/>
      <c r="AK84" s="65"/>
      <c r="AM84" s="57"/>
      <c r="AN84" s="58"/>
      <c r="AO84" s="58"/>
      <c r="AP84" s="58"/>
      <c r="AQ84" s="58"/>
      <c r="AR84" s="58"/>
      <c r="AS84" s="58"/>
      <c r="AT84" s="58"/>
      <c r="AU84" s="58"/>
      <c r="AV84" s="58"/>
      <c r="AW84" s="58"/>
      <c r="AX84" s="58"/>
      <c r="AY84" s="58"/>
      <c r="AZ84" s="58"/>
      <c r="BA84" s="59"/>
      <c r="BC84" s="333"/>
      <c r="BD84" s="334"/>
      <c r="BE84" s="334"/>
      <c r="BF84" s="334"/>
      <c r="BG84" s="334"/>
      <c r="BH84" s="334"/>
      <c r="BI84" s="334"/>
      <c r="BJ84" s="334"/>
      <c r="BK84" s="334"/>
      <c r="BL84" s="334"/>
      <c r="BM84" s="334"/>
      <c r="BN84" s="334"/>
      <c r="BO84" s="334"/>
      <c r="BP84" s="334"/>
      <c r="BQ84" s="334"/>
      <c r="BR84" s="335"/>
      <c r="BV84" s="288"/>
      <c r="BW84" s="288"/>
      <c r="BX84" s="288"/>
      <c r="BY84" s="288"/>
      <c r="BZ84" s="288"/>
      <c r="CA84" s="288"/>
      <c r="CB84" s="288"/>
      <c r="CC84" s="288"/>
      <c r="CD84" s="288"/>
      <c r="CE84" s="288"/>
      <c r="CF84" s="288"/>
      <c r="CG84" s="288"/>
      <c r="CJ84" s="501"/>
      <c r="CK84" s="508"/>
      <c r="CL84" s="501"/>
      <c r="CM84" s="501"/>
      <c r="CN84" s="501"/>
      <c r="CP84" s="493"/>
      <c r="CQ84" s="493"/>
      <c r="CR84" s="493"/>
      <c r="CS84" s="493"/>
      <c r="CT84" s="493"/>
      <c r="CU84" s="493"/>
      <c r="CV84" s="493"/>
      <c r="CW84" s="493"/>
      <c r="CX84" s="493"/>
      <c r="CY84" s="159"/>
      <c r="CZ84" s="159"/>
      <c r="DB84" s="6"/>
      <c r="DC84" s="6"/>
      <c r="DD84" s="6"/>
      <c r="DE84" s="6"/>
      <c r="DF84" s="6"/>
      <c r="DG84" s="6"/>
      <c r="DH84" s="6"/>
      <c r="DI84" s="6"/>
      <c r="DJ84" s="9"/>
      <c r="DK84" s="9"/>
      <c r="DL84" s="12"/>
      <c r="DM84" s="5"/>
      <c r="DN84" s="9"/>
      <c r="DO84" s="1"/>
      <c r="DP84" s="9"/>
    </row>
    <row r="85" spans="2:128" ht="14.45" customHeight="1" x14ac:dyDescent="0.25">
      <c r="B85" s="60"/>
      <c r="C85" s="61"/>
      <c r="D85" s="61"/>
      <c r="E85" s="61"/>
      <c r="F85" s="61"/>
      <c r="G85" s="61"/>
      <c r="H85" s="206"/>
      <c r="I85" s="206"/>
      <c r="J85" s="61"/>
      <c r="K85" s="61"/>
      <c r="L85" s="62"/>
      <c r="M85" s="627" t="str">
        <f>AM85</f>
        <v>OTHER SYSTEM COMPONENTS</v>
      </c>
      <c r="N85" s="628"/>
      <c r="O85" s="628"/>
      <c r="P85" s="628"/>
      <c r="Q85" s="628"/>
      <c r="R85" s="628"/>
      <c r="S85" s="628"/>
      <c r="T85" s="628"/>
      <c r="U85" s="628"/>
      <c r="V85" s="628"/>
      <c r="W85" s="628"/>
      <c r="X85" s="628"/>
      <c r="Y85" s="628"/>
      <c r="Z85" s="628"/>
      <c r="AA85" s="628"/>
      <c r="AB85" s="628"/>
      <c r="AC85" s="628"/>
      <c r="AD85" s="628"/>
      <c r="AE85" s="628"/>
      <c r="AF85" s="628"/>
      <c r="AG85" s="628"/>
      <c r="AH85" s="628"/>
      <c r="AI85" s="628"/>
      <c r="AJ85" s="628"/>
      <c r="AK85" s="629"/>
      <c r="AM85" s="465" t="s">
        <v>169</v>
      </c>
      <c r="AN85" s="466"/>
      <c r="AO85" s="466"/>
      <c r="AP85" s="466"/>
      <c r="AQ85" s="466"/>
      <c r="AR85" s="466"/>
      <c r="AS85" s="466"/>
      <c r="AT85" s="466"/>
      <c r="AU85" s="466"/>
      <c r="AV85" s="466"/>
      <c r="AW85" s="466"/>
      <c r="AX85" s="466"/>
      <c r="AY85" s="466"/>
      <c r="AZ85" s="466"/>
      <c r="BA85" s="467"/>
      <c r="BC85" s="333"/>
      <c r="BD85" s="334"/>
      <c r="BE85" s="334"/>
      <c r="BF85" s="334"/>
      <c r="BG85" s="334"/>
      <c r="BH85" s="334"/>
      <c r="BI85" s="334"/>
      <c r="BJ85" s="334"/>
      <c r="BK85" s="334"/>
      <c r="BL85" s="334"/>
      <c r="BM85" s="334"/>
      <c r="BN85" s="334"/>
      <c r="BO85" s="334"/>
      <c r="BP85" s="334"/>
      <c r="BQ85" s="334"/>
      <c r="BR85" s="335"/>
      <c r="BV85" s="518" t="str">
        <f>IF($H$37=3,"Bottom Layer","")</f>
        <v/>
      </c>
      <c r="BW85" s="518"/>
      <c r="BX85" s="518" t="s">
        <v>138</v>
      </c>
      <c r="BY85" s="518"/>
      <c r="BZ85" s="518"/>
      <c r="CA85" s="518"/>
      <c r="CB85" s="518"/>
      <c r="CC85" s="518" t="s">
        <v>139</v>
      </c>
      <c r="CD85" s="518"/>
      <c r="CE85" s="518"/>
      <c r="CF85" s="518"/>
      <c r="CG85" s="518"/>
      <c r="CJ85" s="501"/>
      <c r="CK85" s="139">
        <f>IF(H37&lt;2,      0,     IF(CS94=0,      0,      IF(CS115&lt;=CS114,               IF(CS119=1,        CS94,      2*CS94),               IF(CS116&lt;=2,             IF(CS118=0,           0,         IF(CS118=1,        CS94,      2*CS94)),            IF(CS118=0,             CS115-CS116,            IF(CS118=1,             CS94+(CS94-CS117),           2*CS94))))))</f>
        <v>0</v>
      </c>
      <c r="CL85" s="266">
        <f>IF(CK85=0,     0,          IF(CN93=1,          CK85*(CG19+CG23),             IF(CN93=2,                IF(CP110&lt;=2,         CK85*BZ81,         ((CK85-1)*BZ81)+(CG19+CG23)),       CK85*BZ81)))</f>
        <v>0</v>
      </c>
      <c r="CM85" s="272">
        <f>IF(CK85=0,     0,          IF(CN93=1,          CK85*BY7,             IF(CN93=2,                IF(CP110&lt;=2,         CK85*BX81,         ((CK85-1)*BX81)+BY7),       CK85*BX81)))</f>
        <v>0</v>
      </c>
      <c r="CN85" s="138">
        <f>CL85+CM85</f>
        <v>0</v>
      </c>
      <c r="CP85" s="494" t="str">
        <f>IF(CS2=1,    "",      "number of endCs per fullR*endRendCvolumes")</f>
        <v>number of endCs per fullR*endRendCvolumes</v>
      </c>
      <c r="CQ85" s="494" t="str">
        <f>IF(CS2=1,       "",      "Max number of midC per fullR*endRmidC Volume")</f>
        <v>Max number of midC per fullR*endRmidC Volume</v>
      </c>
      <c r="CR85" s="494"/>
      <c r="CS85" s="494" t="str">
        <f>IF(CS2=1,     "",      "Number of End Rows")</f>
        <v>Number of End Rows</v>
      </c>
      <c r="CT85" s="494" t="str">
        <f>IF(CS2=1,        "",     "min number of rows suggested")</f>
        <v>min number of rows suggested</v>
      </c>
      <c r="CU85" s="494"/>
      <c r="CV85" s="493" t="s">
        <v>56</v>
      </c>
      <c r="CW85" s="493"/>
      <c r="CX85" s="493"/>
      <c r="CY85" s="159"/>
      <c r="CZ85" s="159"/>
      <c r="DB85" s="291"/>
      <c r="DC85" s="291"/>
      <c r="DD85" s="7"/>
      <c r="DE85" s="7"/>
      <c r="DF85" s="7"/>
      <c r="DG85" s="7"/>
      <c r="DH85" s="291"/>
      <c r="DI85" s="6"/>
      <c r="DJ85" s="9"/>
      <c r="DK85" s="9"/>
      <c r="DL85" s="290"/>
      <c r="DM85" s="1"/>
      <c r="DN85" s="9"/>
      <c r="DO85" s="9"/>
      <c r="DP85" s="9"/>
    </row>
    <row r="86" spans="2:128" ht="8.25" customHeight="1" x14ac:dyDescent="0.25">
      <c r="B86" s="60"/>
      <c r="C86" s="61"/>
      <c r="D86" s="61"/>
      <c r="E86" s="61"/>
      <c r="F86" s="61"/>
      <c r="G86" s="61"/>
      <c r="H86" s="206"/>
      <c r="I86" s="206"/>
      <c r="J86" s="61"/>
      <c r="K86" s="61"/>
      <c r="L86" s="62"/>
      <c r="M86" s="630"/>
      <c r="N86" s="631"/>
      <c r="O86" s="631"/>
      <c r="P86" s="631"/>
      <c r="Q86" s="631"/>
      <c r="R86" s="631"/>
      <c r="S86" s="631"/>
      <c r="T86" s="631"/>
      <c r="U86" s="631"/>
      <c r="V86" s="631"/>
      <c r="W86" s="631"/>
      <c r="X86" s="631"/>
      <c r="Y86" s="631"/>
      <c r="Z86" s="631"/>
      <c r="AA86" s="631"/>
      <c r="AB86" s="631"/>
      <c r="AC86" s="631"/>
      <c r="AD86" s="631"/>
      <c r="AE86" s="631"/>
      <c r="AF86" s="631"/>
      <c r="AG86" s="631"/>
      <c r="AH86" s="631"/>
      <c r="AI86" s="631"/>
      <c r="AJ86" s="631"/>
      <c r="AK86" s="632"/>
      <c r="AM86" s="468"/>
      <c r="AN86" s="469"/>
      <c r="AO86" s="469"/>
      <c r="AP86" s="469"/>
      <c r="AQ86" s="469"/>
      <c r="AR86" s="469"/>
      <c r="AS86" s="469"/>
      <c r="AT86" s="469"/>
      <c r="AU86" s="469"/>
      <c r="AV86" s="469"/>
      <c r="AW86" s="469"/>
      <c r="AX86" s="469"/>
      <c r="AY86" s="469"/>
      <c r="AZ86" s="469"/>
      <c r="BA86" s="470"/>
      <c r="BC86" s="333"/>
      <c r="BD86" s="334"/>
      <c r="BE86" s="334"/>
      <c r="BF86" s="334"/>
      <c r="BG86" s="334"/>
      <c r="BH86" s="334"/>
      <c r="BI86" s="334"/>
      <c r="BJ86" s="334"/>
      <c r="BK86" s="334"/>
      <c r="BL86" s="334"/>
      <c r="BM86" s="334"/>
      <c r="BN86" s="334"/>
      <c r="BO86" s="334"/>
      <c r="BP86" s="334"/>
      <c r="BQ86" s="334"/>
      <c r="BR86" s="335"/>
      <c r="BV86" s="126"/>
      <c r="BW86" s="126"/>
      <c r="BX86" s="510" t="s">
        <v>143</v>
      </c>
      <c r="BY86" s="501" t="s">
        <v>144</v>
      </c>
      <c r="BZ86" s="501" t="s">
        <v>145</v>
      </c>
      <c r="CA86" s="501" t="s">
        <v>146</v>
      </c>
      <c r="CB86" s="501" t="s">
        <v>147</v>
      </c>
      <c r="CC86" s="510" t="s">
        <v>143</v>
      </c>
      <c r="CD86" s="501" t="s">
        <v>144</v>
      </c>
      <c r="CE86" s="501" t="s">
        <v>145</v>
      </c>
      <c r="CF86" s="501" t="s">
        <v>146</v>
      </c>
      <c r="CG86" s="501" t="s">
        <v>147</v>
      </c>
      <c r="CJ86" s="501" t="s">
        <v>67</v>
      </c>
      <c r="CK86" s="508" t="s">
        <v>43</v>
      </c>
      <c r="CL86" s="501" t="s">
        <v>44</v>
      </c>
      <c r="CM86" s="501" t="s">
        <v>45</v>
      </c>
      <c r="CN86" s="501" t="s">
        <v>46</v>
      </c>
      <c r="CP86" s="494"/>
      <c r="CQ86" s="494"/>
      <c r="CR86" s="494"/>
      <c r="CS86" s="494"/>
      <c r="CT86" s="494"/>
      <c r="CU86" s="494"/>
      <c r="CV86" s="493"/>
      <c r="CW86" s="493"/>
      <c r="CX86" s="493"/>
      <c r="CY86" s="159"/>
      <c r="CZ86" s="159"/>
      <c r="DB86" s="7"/>
      <c r="DC86" s="7"/>
      <c r="DD86" s="7"/>
      <c r="DE86" s="7"/>
      <c r="DF86" s="7"/>
      <c r="DG86" s="7"/>
      <c r="DH86" s="7"/>
      <c r="DI86" s="6"/>
      <c r="DJ86" s="9"/>
      <c r="DK86" s="9"/>
      <c r="DL86" s="9"/>
      <c r="DM86" s="1"/>
      <c r="DN86" s="9"/>
      <c r="DO86" s="9"/>
      <c r="DP86" s="9"/>
    </row>
    <row r="87" spans="2:128" ht="21.95" customHeight="1" x14ac:dyDescent="0.25">
      <c r="B87" s="60"/>
      <c r="C87" s="61"/>
      <c r="D87" s="61"/>
      <c r="E87" s="61"/>
      <c r="F87" s="61"/>
      <c r="G87" s="61"/>
      <c r="H87" s="206"/>
      <c r="I87" s="206"/>
      <c r="J87" s="61"/>
      <c r="K87" s="61"/>
      <c r="L87" s="62"/>
      <c r="M87" s="60"/>
      <c r="N87" s="61"/>
      <c r="O87" s="61"/>
      <c r="P87" s="61"/>
      <c r="Q87" s="61"/>
      <c r="R87" s="61"/>
      <c r="S87" s="61"/>
      <c r="T87" s="61"/>
      <c r="U87" s="61"/>
      <c r="V87" s="61"/>
      <c r="W87" s="61"/>
      <c r="X87" s="61"/>
      <c r="Y87" s="61"/>
      <c r="Z87" s="61"/>
      <c r="AA87" s="61"/>
      <c r="AB87" s="61"/>
      <c r="AC87" s="61"/>
      <c r="AD87" s="61"/>
      <c r="AE87" s="61"/>
      <c r="AF87" s="61"/>
      <c r="AG87" s="61"/>
      <c r="AH87" s="61"/>
      <c r="AI87" s="61"/>
      <c r="AJ87" s="61"/>
      <c r="AK87" s="62"/>
      <c r="AM87" s="42"/>
      <c r="AN87" s="23"/>
      <c r="AO87" s="23"/>
      <c r="AP87" s="23"/>
      <c r="AQ87" s="23"/>
      <c r="AR87" s="23"/>
      <c r="AS87" s="23"/>
      <c r="AT87" s="23"/>
      <c r="AU87" s="23"/>
      <c r="AV87" s="23"/>
      <c r="AW87" s="23"/>
      <c r="AX87" s="23"/>
      <c r="AY87" s="23"/>
      <c r="AZ87" s="37"/>
      <c r="BA87" s="33"/>
      <c r="BC87" s="333"/>
      <c r="BD87" s="334"/>
      <c r="BE87" s="334"/>
      <c r="BF87" s="334"/>
      <c r="BG87" s="334"/>
      <c r="BH87" s="334"/>
      <c r="BI87" s="334"/>
      <c r="BJ87" s="334"/>
      <c r="BK87" s="334"/>
      <c r="BL87" s="334"/>
      <c r="BM87" s="334"/>
      <c r="BN87" s="334"/>
      <c r="BO87" s="334"/>
      <c r="BP87" s="334"/>
      <c r="BQ87" s="334"/>
      <c r="BR87" s="335"/>
      <c r="BV87" s="458" t="str">
        <f>IF($H$37&gt;2,      $H$19,          "")</f>
        <v/>
      </c>
      <c r="BW87" s="127"/>
      <c r="BX87" s="510"/>
      <c r="BY87" s="501"/>
      <c r="BZ87" s="501"/>
      <c r="CA87" s="501"/>
      <c r="CB87" s="501"/>
      <c r="CC87" s="510"/>
      <c r="CD87" s="501"/>
      <c r="CE87" s="501"/>
      <c r="CF87" s="501"/>
      <c r="CG87" s="501"/>
      <c r="CJ87" s="501"/>
      <c r="CK87" s="508"/>
      <c r="CL87" s="501"/>
      <c r="CM87" s="501"/>
      <c r="CN87" s="501"/>
      <c r="CP87" s="494"/>
      <c r="CQ87" s="494"/>
      <c r="CR87" s="494"/>
      <c r="CS87" s="494"/>
      <c r="CT87" s="494"/>
      <c r="CU87" s="494"/>
      <c r="CV87" s="493"/>
      <c r="CW87" s="493"/>
      <c r="CX87" s="493"/>
      <c r="CY87" s="159"/>
      <c r="CZ87" s="159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5"/>
      <c r="DM87" s="3"/>
      <c r="DN87" s="9"/>
    </row>
    <row r="88" spans="2:128" ht="23.25" x14ac:dyDescent="0.25">
      <c r="B88" s="60"/>
      <c r="C88" s="61"/>
      <c r="D88" s="61"/>
      <c r="E88" s="61"/>
      <c r="F88" s="61"/>
      <c r="G88" s="61"/>
      <c r="H88" s="206"/>
      <c r="I88" s="206"/>
      <c r="J88" s="61"/>
      <c r="K88" s="61"/>
      <c r="L88" s="62"/>
      <c r="M88" s="60"/>
      <c r="N88" s="61"/>
      <c r="O88" s="243"/>
      <c r="P88" s="243"/>
      <c r="Q88" s="244"/>
      <c r="R88" s="244"/>
      <c r="S88" s="244"/>
      <c r="T88" s="244"/>
      <c r="U88" s="244"/>
      <c r="V88" s="36" t="str">
        <f>AT88</f>
        <v xml:space="preserve"> Minimum Amount of Stone Required</v>
      </c>
      <c r="W88" s="244"/>
      <c r="X88" s="619">
        <f>AU88</f>
        <v>18.536762688614541</v>
      </c>
      <c r="Y88" s="619"/>
      <c r="Z88" s="619"/>
      <c r="AA88" s="41" t="str">
        <f>AX88</f>
        <v>Cubic Yards</v>
      </c>
      <c r="AB88" s="257"/>
      <c r="AC88" s="620" t="s">
        <v>170</v>
      </c>
      <c r="AD88" s="620"/>
      <c r="AE88" s="620"/>
      <c r="AF88" s="620"/>
      <c r="AG88" s="620"/>
      <c r="AH88" s="620"/>
      <c r="AI88" s="620"/>
      <c r="AJ88" s="620"/>
      <c r="AK88" s="62"/>
      <c r="AM88" s="72"/>
      <c r="AN88" s="38"/>
      <c r="AO88" s="38"/>
      <c r="AP88" s="38"/>
      <c r="AQ88" s="38"/>
      <c r="AR88" s="38"/>
      <c r="AS88" s="38"/>
      <c r="AT88" s="179" t="s">
        <v>171</v>
      </c>
      <c r="AU88" s="488">
        <f>IF(H15="Imperial",    IF(H37=1,     (((AU83*AU81)-CM27)/27)+((H47*(((60*60*(60-H29))/1728)-15))/27),         IF(H37=2,    ((AU77*AU79*AU81)-CM27-CM89)/27,      IF(H37=3,  ((AU77*AU79*AU81)-CM27-CM89-CM147)/27,                           ((AU77*AU79*AU81)-CM27-CM89-CM147-CM187)/27))),                IF(H37=1,                                  ((AU83*AU81)-CM27)+(H47*(((1524*1524*1524-H29))/1000000000)-0.45),         IF(H37=2,     (AU77*AU79*AU81)-CM27-CM89,                IF(H37=3,              (AU77*AU79*AU81)-CM27-CM89-CM147,                (AU77*AU79*AU81)-CM27-CM89-CM147-CM187))))</f>
        <v>18.536762688614541</v>
      </c>
      <c r="AV88" s="488"/>
      <c r="AW88" s="488"/>
      <c r="AX88" s="37" t="str">
        <f>IF($H$15="imperial","Cubic Yards", "Cubic Meters")</f>
        <v>Cubic Yards</v>
      </c>
      <c r="AY88" s="38"/>
      <c r="AZ88" s="41"/>
      <c r="BA88" s="77"/>
      <c r="BC88" s="333"/>
      <c r="BD88" s="334"/>
      <c r="BE88" s="334"/>
      <c r="BF88" s="334"/>
      <c r="BG88" s="334"/>
      <c r="BH88" s="334"/>
      <c r="BI88" s="334"/>
      <c r="BJ88" s="334"/>
      <c r="BK88" s="334"/>
      <c r="BL88" s="334"/>
      <c r="BM88" s="334"/>
      <c r="BN88" s="334"/>
      <c r="BO88" s="334"/>
      <c r="BP88" s="334"/>
      <c r="BQ88" s="334"/>
      <c r="BR88" s="335"/>
      <c r="BV88" s="458"/>
      <c r="BW88" s="127"/>
      <c r="BX88" s="510"/>
      <c r="BY88" s="501"/>
      <c r="BZ88" s="501"/>
      <c r="CA88" s="501"/>
      <c r="CB88" s="501"/>
      <c r="CC88" s="510"/>
      <c r="CD88" s="501"/>
      <c r="CE88" s="501"/>
      <c r="CF88" s="501"/>
      <c r="CG88" s="501"/>
      <c r="CJ88" s="501"/>
      <c r="CK88" s="140">
        <f>IF(CS94=0,    0,       IF(CS115&lt;=CS114,               IF(CS119&lt;=2,        0,          CS94*CS110),             IF(CS119&lt;=2,       0,         IF(CS116&lt;=2,          IF(CS118&lt;=2,       0,           CS94*CS110),                                                          IF(CS118=2,        (CS94-(CS115-CS116)),              (CS94*CS110)+(CS94-(CS115-CS116)))))))</f>
        <v>0</v>
      </c>
      <c r="CL88" s="272">
        <f>CK88*CE81</f>
        <v>0</v>
      </c>
      <c r="CM88" s="272">
        <f>CK88*CC81</f>
        <v>0</v>
      </c>
      <c r="CN88" s="138">
        <f>CL88+CM88</f>
        <v>0</v>
      </c>
      <c r="CP88" s="495">
        <f>IF(CS2=1,                0,                 IF(H15="Imperial",                          IF(CW81=1,                  (BY7+BY19)+(((H55*BY75*BY77)/1728)*(H33/100)),                                      2*CA81),                                                                                                                                                                                                                                                              IF(CW81=1,                           (BY7+BY19)+(((H55*BY75*BY77)/1000000000)*(H33/100)),                           2*CA81)))</f>
        <v>58.715999999999994</v>
      </c>
      <c r="CQ88" s="495">
        <f>IF(CS2=1,     0,      IF(CU81=0,       0,          CU81*CF81))</f>
        <v>0</v>
      </c>
      <c r="CR88" s="495"/>
      <c r="CS88" s="495">
        <f>IF(CS2=1,          0,     IF(CW81=1,            IF(CP81&lt;=BY23,         1,         2),                    IF(CW81=2,                  IF(CP81&lt;=CF23,         1,              2),                                                                                                                                           IF(H15="Imperial",          IF(CP81&lt;=((2*(CA81+(((BY75*(BY77+H55-(H45/2))*(BX79+H55))/1728)*(H33/100))+(CU81*(CF81+((((H55-(H45/2))*CD75*CD79)/1728)*(H33/100))))))),   1,     2),                                                                                                                                                                  IF(CP81&lt;=((2*(CA81+(((BY75*(BY77+H55-(H45/2))*(BX79+H55))/1000000000)*(H33/100))+(CU81*(CF81+((((H55-(H45/2))*CD75*CD79)/1000000000)*(H33/100))))))),      1,     2)))))</f>
        <v>1</v>
      </c>
      <c r="CT88" s="495">
        <f>IF(CS2=1,                    0,                      IF(CP81&lt;=(2*(CP88+CQ88)),                    CS88,                         IF(CW81=1,                          (ROUNDUP((CP81-(2*(CP88+CQ88)))/(CG27),0))+2,                                                                              IF(CW81=2,                    (ROUNDUP((CP81-(2*(CP88+CQ88)))/(2*CB81),0))+2,                    (ROUNDUP((CP81-(2*(CP88+CQ88)))/((CU81*CG81)+(2*CB81)),0))+2))))</f>
        <v>1</v>
      </c>
      <c r="CU88" s="495"/>
      <c r="CV88" s="493"/>
      <c r="CW88" s="493"/>
      <c r="CX88" s="493"/>
      <c r="CY88" s="159"/>
      <c r="CZ88" s="159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318"/>
      <c r="DM88" s="3"/>
      <c r="DN88" s="9"/>
    </row>
    <row r="89" spans="2:128" ht="15.75" x14ac:dyDescent="0.25">
      <c r="B89" s="60"/>
      <c r="C89" s="61"/>
      <c r="D89" s="61"/>
      <c r="E89" s="61"/>
      <c r="F89" s="61"/>
      <c r="G89" s="61"/>
      <c r="H89" s="206"/>
      <c r="I89" s="206"/>
      <c r="J89" s="61"/>
      <c r="K89" s="61"/>
      <c r="L89" s="62"/>
      <c r="M89" s="60"/>
      <c r="N89" s="61"/>
      <c r="O89" s="61"/>
      <c r="P89" s="61"/>
      <c r="Q89" s="245"/>
      <c r="R89" s="245"/>
      <c r="S89" s="245"/>
      <c r="T89" s="245"/>
      <c r="U89" s="245"/>
      <c r="V89" s="36" t="str">
        <f>AT90</f>
        <v>Volume of Excavation (not including fill)</v>
      </c>
      <c r="W89" s="245"/>
      <c r="X89" s="619">
        <f>AU90</f>
        <v>25.429355281207133</v>
      </c>
      <c r="Y89" s="619"/>
      <c r="Z89" s="619"/>
      <c r="AA89" s="41" t="str">
        <f>AX90</f>
        <v>Cubic Yards</v>
      </c>
      <c r="AB89" s="246"/>
      <c r="AC89" s="245"/>
      <c r="AD89" s="245"/>
      <c r="AE89" s="245"/>
      <c r="AF89" s="245"/>
      <c r="AG89" s="245"/>
      <c r="AH89" s="245"/>
      <c r="AI89" s="245"/>
      <c r="AJ89" s="244"/>
      <c r="AK89" s="62"/>
      <c r="AM89" s="72"/>
      <c r="AN89" s="38"/>
      <c r="AO89" s="38"/>
      <c r="AP89" s="191" t="s">
        <v>172</v>
      </c>
      <c r="AQ89" s="38"/>
      <c r="AR89" s="38"/>
      <c r="AS89" s="38"/>
      <c r="AT89" s="179"/>
      <c r="AU89" s="176"/>
      <c r="AV89" s="176"/>
      <c r="AW89" s="176"/>
      <c r="AX89" s="37"/>
      <c r="AY89" s="38"/>
      <c r="AZ89" s="41"/>
      <c r="BA89" s="77"/>
      <c r="BC89" s="333"/>
      <c r="BD89" s="334"/>
      <c r="BE89" s="334"/>
      <c r="BF89" s="334"/>
      <c r="BG89" s="334"/>
      <c r="BH89" s="334"/>
      <c r="BI89" s="334"/>
      <c r="BJ89" s="334"/>
      <c r="BK89" s="334"/>
      <c r="BL89" s="334"/>
      <c r="BM89" s="334"/>
      <c r="BN89" s="334"/>
      <c r="BO89" s="334"/>
      <c r="BP89" s="334"/>
      <c r="BQ89" s="334"/>
      <c r="BR89" s="335"/>
      <c r="BV89" s="458"/>
      <c r="BW89" s="495" t="str">
        <f>IF($H$15="Imperial","Height (in)","Height (mm)")</f>
        <v>Height (in)</v>
      </c>
      <c r="BX89" s="589">
        <v>44</v>
      </c>
      <c r="BY89" s="460">
        <f>IF($H$37&lt;3,          0,        IF($H$37=3,    $BX$89+$H$29+($H$39/2),          BX89+H39))</f>
        <v>0</v>
      </c>
      <c r="BZ89" s="460">
        <f>IF($H$37&lt;3,          0,        IF($H$37=3,    $BX$89+$H$29+($H$39/2),          BX89+H39))</f>
        <v>0</v>
      </c>
      <c r="CA89" s="522"/>
      <c r="CB89" s="522"/>
      <c r="CC89" s="589">
        <v>44</v>
      </c>
      <c r="CD89" s="460">
        <f>IF($H$37&lt;3,          0,        IF($H$37=3,    $BX$89+$H$29+($H$39/2),          BX89+H39))</f>
        <v>0</v>
      </c>
      <c r="CE89" s="460">
        <f>IF($H$37&lt;3,          0,        IF($H$37=3,    $BX$89+$H$29+($H$39/2),          BX89+H39))</f>
        <v>0</v>
      </c>
      <c r="CF89" s="522"/>
      <c r="CG89" s="522"/>
      <c r="CH89" s="110"/>
      <c r="CI89" s="110"/>
      <c r="CJ89" s="153" t="s">
        <v>80</v>
      </c>
      <c r="CK89" s="153">
        <f>CK79+CK82+CK85+CK88</f>
        <v>0</v>
      </c>
      <c r="CL89" s="153">
        <f>CL79+CL82+CL85+CL88</f>
        <v>0</v>
      </c>
      <c r="CM89" s="153">
        <f>CM79+CM82+CM85+CM88</f>
        <v>0</v>
      </c>
      <c r="CN89" s="153">
        <f>CN79+CN82+CN85+CN88</f>
        <v>0</v>
      </c>
      <c r="CP89" s="495"/>
      <c r="CQ89" s="495"/>
      <c r="CR89" s="495"/>
      <c r="CS89" s="495"/>
      <c r="CT89" s="495"/>
      <c r="CU89" s="495"/>
      <c r="CV89" s="493"/>
      <c r="CW89" s="493"/>
      <c r="CX89" s="493"/>
      <c r="CY89" s="159"/>
      <c r="CZ89" s="159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18"/>
      <c r="DM89" s="3"/>
      <c r="DN89" s="6"/>
    </row>
    <row r="90" spans="2:128" ht="15.75" x14ac:dyDescent="0.25">
      <c r="B90" s="60"/>
      <c r="C90" s="61"/>
      <c r="D90" s="61"/>
      <c r="E90" s="61"/>
      <c r="F90" s="61"/>
      <c r="G90" s="61"/>
      <c r="H90" s="206"/>
      <c r="I90" s="206"/>
      <c r="J90" s="61"/>
      <c r="K90" s="61"/>
      <c r="L90" s="62"/>
      <c r="M90" s="60"/>
      <c r="N90" s="61"/>
      <c r="O90" s="61"/>
      <c r="P90" s="61"/>
      <c r="Q90" s="61"/>
      <c r="R90" s="61"/>
      <c r="S90" s="61"/>
      <c r="T90" s="61"/>
      <c r="U90" s="61"/>
      <c r="V90" s="36" t="str">
        <f>AT91</f>
        <v>Non-woven Filter Fabric Required</v>
      </c>
      <c r="W90" s="61"/>
      <c r="X90" s="619">
        <f>AU91</f>
        <v>106.95802469135803</v>
      </c>
      <c r="Y90" s="619"/>
      <c r="Z90" s="619"/>
      <c r="AA90" s="41" t="str">
        <f>AX91</f>
        <v>Square Yards</v>
      </c>
      <c r="AB90" s="246"/>
      <c r="AC90" s="61"/>
      <c r="AD90" s="61"/>
      <c r="AE90" s="61"/>
      <c r="AF90" s="61"/>
      <c r="AG90" s="61"/>
      <c r="AH90" s="61"/>
      <c r="AI90" s="61"/>
      <c r="AJ90" s="245"/>
      <c r="AK90" s="62"/>
      <c r="AM90" s="72"/>
      <c r="AN90" s="23"/>
      <c r="AO90" s="23"/>
      <c r="AP90" s="23"/>
      <c r="AQ90" s="23"/>
      <c r="AR90" s="23"/>
      <c r="AS90" s="23"/>
      <c r="AT90" s="36" t="s">
        <v>173</v>
      </c>
      <c r="AU90" s="489">
        <f>IF(H15="Imperial",      IF(H37=1,                    (AU83*AU81)/27,                (AU77*AU79*AU81)/27),          IF(H37=1,           (AU83*AU81),      (AU77*AU79*AU81)))</f>
        <v>25.429355281207133</v>
      </c>
      <c r="AV90" s="489"/>
      <c r="AW90" s="489"/>
      <c r="AX90" s="37" t="str">
        <f>IF($H$15="Imperial","Cubic Yards", "Cubic Meters")</f>
        <v>Cubic Yards</v>
      </c>
      <c r="AY90" s="38"/>
      <c r="AZ90" s="37"/>
      <c r="BA90" s="77"/>
      <c r="BC90" s="336"/>
      <c r="BD90" s="337"/>
      <c r="BE90" s="337"/>
      <c r="BF90" s="337"/>
      <c r="BG90" s="337"/>
      <c r="BH90" s="337"/>
      <c r="BI90" s="337"/>
      <c r="BJ90" s="337"/>
      <c r="BK90" s="337"/>
      <c r="BL90" s="337"/>
      <c r="BM90" s="337"/>
      <c r="BN90" s="337"/>
      <c r="BO90" s="337"/>
      <c r="BP90" s="337"/>
      <c r="BQ90" s="337"/>
      <c r="BR90" s="338"/>
      <c r="BV90" s="458"/>
      <c r="BW90" s="495"/>
      <c r="BX90" s="589"/>
      <c r="BY90" s="460"/>
      <c r="BZ90" s="460"/>
      <c r="CA90" s="522"/>
      <c r="CB90" s="522"/>
      <c r="CC90" s="589"/>
      <c r="CD90" s="460"/>
      <c r="CE90" s="460"/>
      <c r="CF90" s="522"/>
      <c r="CG90" s="522"/>
      <c r="CH90" s="110"/>
      <c r="CI90" s="110"/>
      <c r="CJ90" s="110"/>
      <c r="CK90" s="110"/>
      <c r="CL90" s="110"/>
      <c r="CM90" s="110"/>
      <c r="CN90" s="110"/>
      <c r="CP90" s="495" t="s">
        <v>68</v>
      </c>
      <c r="CQ90" s="495"/>
      <c r="CR90" s="495"/>
      <c r="CS90" s="495"/>
      <c r="CT90" s="495"/>
      <c r="CU90" s="495"/>
      <c r="CV90" s="495"/>
      <c r="CW90" s="495"/>
      <c r="CX90" s="495"/>
      <c r="CY90" s="159"/>
      <c r="CZ90" s="159"/>
      <c r="DB90" s="6"/>
      <c r="DC90" s="6"/>
      <c r="DD90" s="6"/>
      <c r="DE90" s="6"/>
      <c r="DF90" s="6"/>
      <c r="DG90" s="6"/>
      <c r="DH90" s="6"/>
      <c r="DI90" s="6"/>
      <c r="DJ90" s="6"/>
      <c r="DK90" s="5"/>
      <c r="DL90" s="5"/>
      <c r="DM90" s="3"/>
      <c r="DN90" s="6"/>
    </row>
    <row r="91" spans="2:128" ht="15.75" x14ac:dyDescent="0.25">
      <c r="B91" s="60"/>
      <c r="C91" s="61"/>
      <c r="D91" s="61"/>
      <c r="E91" s="61"/>
      <c r="F91" s="61"/>
      <c r="G91" s="61"/>
      <c r="H91" s="206"/>
      <c r="I91" s="206"/>
      <c r="J91" s="61"/>
      <c r="K91" s="61"/>
      <c r="L91" s="62"/>
      <c r="M91" s="60"/>
      <c r="N91" s="61"/>
      <c r="O91" s="61"/>
      <c r="P91" s="61"/>
      <c r="Q91" s="61"/>
      <c r="R91" s="61"/>
      <c r="S91" s="61"/>
      <c r="T91" s="61"/>
      <c r="U91" s="61"/>
      <c r="V91" s="36" t="str">
        <f>AT92</f>
        <v>Stabilization Fabric</v>
      </c>
      <c r="W91" s="61"/>
      <c r="X91" s="247"/>
      <c r="Y91" s="617">
        <f>AU92</f>
        <v>1</v>
      </c>
      <c r="Z91" s="617"/>
      <c r="AA91" s="23" t="str">
        <f>AX92</f>
        <v>Pieces</v>
      </c>
      <c r="AB91" s="246"/>
      <c r="AC91" s="61"/>
      <c r="AD91" s="61"/>
      <c r="AE91" s="61"/>
      <c r="AF91" s="61"/>
      <c r="AG91" s="61"/>
      <c r="AH91" s="61"/>
      <c r="AI91" s="61"/>
      <c r="AJ91" s="61"/>
      <c r="AK91" s="62"/>
      <c r="AM91" s="72"/>
      <c r="AN91" s="23"/>
      <c r="AO91" s="23"/>
      <c r="AP91" s="23"/>
      <c r="AQ91" s="23"/>
      <c r="AR91" s="23"/>
      <c r="AS91" s="23"/>
      <c r="AT91" s="36" t="s">
        <v>174</v>
      </c>
      <c r="AU91" s="489">
        <f>IF(H15="Imperial",                IF(H51="yes",                (((((AU77*AU79)+(2*((AU77+4)*(AU79+4))))+(2*((2*(AU79+4)*(AU81+2))+(2*(AU77+4)*(AU81+2)))))/9)   +                                       ((((2*AU77*((ROUNDUP((AU79-2)/10.5,0)-1))))+(2*(2*(AU77+4)*((ROUNDUP((AU79+2)/10.5,0)-1)))))/9))*(1.1),                                                                                                                (((((AU77*AU79)+((AU77+4)*(AU79+4)))+((2*(AU79+4)*(AU81+2))+(2*(AU77+4)*(AU81+2))))/9)                                       +                                                                                                                 ((((2*AU77*((ROUNDUP((AU79-2)/10.5,0)-1))))+(2*(AU77+4)*((ROUNDUP((AU79+2)/10.5,0)-1))))/9))*(1.1)   ),                                                                                                                                                                                                               IF(H51="yes",                                  (((((AU77*AU79)+(2*((AU77+1.22)*(AU79+1.22))))+(2*((2*(AU79+1.22)*(AU81+0.61))+(2*(AU77+1.22)*(AU81+0.61)))))   +    ((((0.61*AU77*((ROUNDUP((AU79-0.61)/3.2,0)-1)))))+(2*(0.61*(AU77+1.22)*((ROUNDUP((AU79+0.61)/3.2,0)-1)))))))*(1.1),         (((((AU77*AU79)+((AU77+1.22)*(AU79+1.22)))+((2*(AU79+1.22)*(AU81+0.61))+(2*(AU77+1.22)*(AU81+0.61))))   +    (((0.61*AU77*((ROUNDUP((AU79-0.61)/3.2,0)-1))))+(0.61*(AU77+1.22)*((ROUNDUP((AU79+0.61)/3.2,0)-1))))))*(1.1)          ))</f>
        <v>106.95802469135803</v>
      </c>
      <c r="AV91" s="489"/>
      <c r="AW91" s="489"/>
      <c r="AX91" s="37" t="str">
        <f>IF($H$15="Imperial","Square Yards", "Square Meters")</f>
        <v>Square Yards</v>
      </c>
      <c r="AY91" s="38"/>
      <c r="AZ91" s="41"/>
      <c r="BA91" s="77"/>
      <c r="BC91" s="425"/>
      <c r="BD91" s="426"/>
      <c r="BE91" s="426"/>
      <c r="BF91" s="426"/>
      <c r="BG91" s="426"/>
      <c r="BH91" s="426"/>
      <c r="BI91" s="426"/>
      <c r="BJ91" s="426"/>
      <c r="BK91" s="426"/>
      <c r="BL91" s="426"/>
      <c r="BM91" s="426"/>
      <c r="BN91" s="426"/>
      <c r="BO91" s="426"/>
      <c r="BP91" s="426"/>
      <c r="BQ91" s="426"/>
      <c r="BR91" s="427"/>
      <c r="BV91" s="458"/>
      <c r="BW91" s="127" t="str">
        <f>IF($H$15="Imperial","Width (in)","Width (mm)")</f>
        <v>Width (in)</v>
      </c>
      <c r="BX91" s="350">
        <f>SUMIFS($BY$166:$BY$199,$BW$166:$BW$199,$H$19,$BX$166:$BX$199,$BW91)</f>
        <v>80</v>
      </c>
      <c r="BY91" s="265">
        <f>IF(H15="Imperial",                BX91+($H$45/2)+(H55),                BX91+($H$45/2)+(H55))</f>
        <v>95</v>
      </c>
      <c r="BZ91" s="265">
        <f>BX91+$H$45</f>
        <v>86</v>
      </c>
      <c r="CA91" s="264"/>
      <c r="CB91" s="265"/>
      <c r="CC91" s="350">
        <f>SUMIFS($BZ$166:$BZ$199,$BW$166:$BW$199,$H$19,$BX$166:$BX$199,$BW91)</f>
        <v>80</v>
      </c>
      <c r="CD91" s="265">
        <f>IF(H15="imperial",             CC91+($H$45/2)+(H55),               CC91+($H$45/2)+(H55))</f>
        <v>95</v>
      </c>
      <c r="CE91" s="265">
        <f>CC91+$H$45</f>
        <v>86</v>
      </c>
      <c r="CF91" s="264"/>
      <c r="CG91" s="265"/>
      <c r="CJ91" s="147" t="str">
        <f>IF($H$23=1,"Min suggested number of rows","Max suggested number of rows")</f>
        <v>Max suggested number of rows</v>
      </c>
      <c r="CK91" s="147"/>
      <c r="CL91" s="147"/>
      <c r="CM91" s="147"/>
      <c r="CN91" s="272">
        <f>IF(H37&lt;2,       0,      CX96)</f>
        <v>0</v>
      </c>
      <c r="CP91" s="496" t="s">
        <v>72</v>
      </c>
      <c r="CQ91" s="496" t="str">
        <f>IF(H37=2,          "Chosen Number of Rows",      "Default Number of Rows")</f>
        <v>Default Number of Rows</v>
      </c>
      <c r="CR91" s="496" t="s">
        <v>73</v>
      </c>
      <c r="CS91" s="498" t="s">
        <v>74</v>
      </c>
      <c r="CT91" s="498" t="s">
        <v>75</v>
      </c>
      <c r="CU91" s="498"/>
      <c r="CV91" s="498" t="s">
        <v>76</v>
      </c>
      <c r="CW91" s="495"/>
      <c r="CX91" s="496" t="s">
        <v>78</v>
      </c>
      <c r="CY91" s="496"/>
      <c r="CZ91" s="496"/>
      <c r="DB91" s="6"/>
      <c r="DC91" s="6"/>
      <c r="DD91" s="6"/>
      <c r="DE91" s="6"/>
      <c r="DF91" s="6"/>
      <c r="DG91" s="6"/>
      <c r="DH91" s="6"/>
      <c r="DI91" s="6"/>
      <c r="DJ91" s="6"/>
      <c r="DK91" s="5"/>
      <c r="DL91" s="5"/>
      <c r="DM91" s="3"/>
      <c r="DN91" s="5"/>
      <c r="DO91" s="9"/>
      <c r="DR91" s="5"/>
      <c r="DS91" s="5"/>
      <c r="DT91" s="5"/>
      <c r="DU91" s="5"/>
      <c r="DV91" s="5"/>
      <c r="DW91" s="5"/>
      <c r="DX91" s="5"/>
    </row>
    <row r="92" spans="2:128" ht="15.75" x14ac:dyDescent="0.25">
      <c r="B92" s="60"/>
      <c r="C92" s="61"/>
      <c r="D92" s="61"/>
      <c r="E92" s="61"/>
      <c r="F92" s="61"/>
      <c r="G92" s="61"/>
      <c r="H92" s="206"/>
      <c r="I92" s="206"/>
      <c r="J92" s="61"/>
      <c r="K92" s="61"/>
      <c r="L92" s="62"/>
      <c r="M92" s="60"/>
      <c r="N92" s="61"/>
      <c r="O92" s="61"/>
      <c r="P92" s="61"/>
      <c r="Q92" s="61"/>
      <c r="R92" s="61"/>
      <c r="S92" s="61"/>
      <c r="T92" s="61"/>
      <c r="U92" s="61"/>
      <c r="V92" s="36" t="str">
        <f>AT93</f>
        <v>Impervious Liner</v>
      </c>
      <c r="W92" s="61"/>
      <c r="X92" s="617">
        <f>AU93</f>
        <v>0</v>
      </c>
      <c r="Y92" s="617"/>
      <c r="Z92" s="617"/>
      <c r="AA92" s="41" t="str">
        <f>AX93</f>
        <v>Square Yards</v>
      </c>
      <c r="AB92" s="246"/>
      <c r="AC92" s="61"/>
      <c r="AD92" s="61"/>
      <c r="AE92" s="61"/>
      <c r="AF92" s="61"/>
      <c r="AG92" s="61"/>
      <c r="AH92" s="61"/>
      <c r="AI92" s="61"/>
      <c r="AJ92" s="61"/>
      <c r="AK92" s="62"/>
      <c r="AM92" s="72"/>
      <c r="AN92" s="23"/>
      <c r="AO92" s="23"/>
      <c r="AP92" s="23"/>
      <c r="AQ92" s="23"/>
      <c r="AR92" s="23"/>
      <c r="AS92" s="23"/>
      <c r="AT92" s="36" t="s">
        <v>175</v>
      </c>
      <c r="AU92" s="489">
        <f>IF(H37=1, H53*(ROUNDUP((AO31/75),0)), IF(H37=2, H53*(ROUNDUP((AO43/75),0)), IF(H37=3, H53*(ROUNDUP((AO55/75),0)), H53*(ROUNDUP((AO67/75),0)))))</f>
        <v>1</v>
      </c>
      <c r="AV92" s="489"/>
      <c r="AW92" s="489"/>
      <c r="AX92" s="37" t="s">
        <v>176</v>
      </c>
      <c r="AY92" s="38"/>
      <c r="AZ92" s="37"/>
      <c r="BA92" s="77"/>
      <c r="BC92" s="428"/>
      <c r="BD92" s="429"/>
      <c r="BE92" s="429"/>
      <c r="BF92" s="429"/>
      <c r="BG92" s="429"/>
      <c r="BH92" s="429"/>
      <c r="BI92" s="429"/>
      <c r="BJ92" s="429"/>
      <c r="BK92" s="429"/>
      <c r="BL92" s="429"/>
      <c r="BM92" s="429"/>
      <c r="BN92" s="429"/>
      <c r="BO92" s="429"/>
      <c r="BP92" s="429"/>
      <c r="BQ92" s="429"/>
      <c r="BR92" s="430"/>
      <c r="BV92" s="458"/>
      <c r="BW92" s="127" t="str">
        <f>IF($H$15="Imperial","Installed Length (in)","Installed Length (mm)")</f>
        <v>Installed Length (in)</v>
      </c>
      <c r="BX92" s="350">
        <f>SUMIFS($BY$166:$BY$199,$BW$166:$BW$199,$H$19,$BX$166:$BX$199,$BW92)</f>
        <v>80</v>
      </c>
      <c r="BY92" s="265">
        <f>IF(H15="Imperial",         BX92+(H55),             BX92+(H55))</f>
        <v>92</v>
      </c>
      <c r="BZ92" s="265">
        <f>IF(H15="Imperial",             BX92+(H55),             BX92+(H55))</f>
        <v>92</v>
      </c>
      <c r="CA92" s="264"/>
      <c r="CB92" s="265"/>
      <c r="CC92" s="350">
        <f>SUMIFS($BZ$166:$BZ$199,$BW$166:$BW$199,$H$19,$BX$166:$BX$199,$BW92)</f>
        <v>74</v>
      </c>
      <c r="CD92" s="265">
        <f>CC92</f>
        <v>74</v>
      </c>
      <c r="CE92" s="265">
        <f>CC92</f>
        <v>74</v>
      </c>
      <c r="CF92" s="264"/>
      <c r="CG92" s="265"/>
      <c r="CJ92" s="154" t="str">
        <f>IF(H37=2,"Chosen number of rows","Default number of rows")</f>
        <v>Default number of rows</v>
      </c>
      <c r="CK92" s="154"/>
      <c r="CL92" s="154"/>
      <c r="CM92" s="154"/>
      <c r="CN92" s="272">
        <f>IF(H37&lt;2,      0,         IF(H37=2,         H41,            CX96))</f>
        <v>0</v>
      </c>
      <c r="CP92" s="496"/>
      <c r="CQ92" s="496"/>
      <c r="CR92" s="496"/>
      <c r="CS92" s="498"/>
      <c r="CT92" s="498"/>
      <c r="CU92" s="498"/>
      <c r="CV92" s="498"/>
      <c r="CW92" s="495"/>
      <c r="CX92" s="496"/>
      <c r="CY92" s="496"/>
      <c r="CZ92" s="496"/>
      <c r="DB92" s="7"/>
      <c r="DC92" s="19"/>
      <c r="DD92" s="7"/>
      <c r="DE92" s="9"/>
      <c r="DF92" s="9"/>
      <c r="DG92" s="9"/>
      <c r="DH92" s="9"/>
      <c r="DI92" s="9"/>
      <c r="DJ92" s="9"/>
      <c r="DK92" s="5"/>
      <c r="DL92" s="5"/>
      <c r="DM92" s="3"/>
      <c r="DN92" s="5"/>
      <c r="DO92" s="9"/>
      <c r="DR92" s="5"/>
      <c r="DS92" s="5"/>
      <c r="DT92" s="5"/>
      <c r="DU92" s="5"/>
      <c r="DV92" s="5"/>
      <c r="DW92" s="5"/>
      <c r="DX92" s="5"/>
    </row>
    <row r="93" spans="2:128" ht="15" customHeight="1" x14ac:dyDescent="0.25">
      <c r="B93" s="60"/>
      <c r="C93" s="61"/>
      <c r="D93" s="61"/>
      <c r="E93" s="61"/>
      <c r="F93" s="61"/>
      <c r="G93" s="61"/>
      <c r="H93" s="206"/>
      <c r="I93" s="206"/>
      <c r="J93" s="61"/>
      <c r="K93" s="61"/>
      <c r="L93" s="62"/>
      <c r="M93" s="60"/>
      <c r="N93" s="61"/>
      <c r="O93" s="61"/>
      <c r="P93" s="61"/>
      <c r="Q93" s="61"/>
      <c r="R93" s="61"/>
      <c r="S93" s="61"/>
      <c r="T93" s="61"/>
      <c r="U93" s="61"/>
      <c r="V93" s="61"/>
      <c r="W93" s="61"/>
      <c r="X93" s="61"/>
      <c r="Y93" s="61"/>
      <c r="Z93" s="61"/>
      <c r="AA93" s="61"/>
      <c r="AB93" s="61"/>
      <c r="AC93" s="61"/>
      <c r="AD93" s="61"/>
      <c r="AE93" s="61"/>
      <c r="AF93" s="61"/>
      <c r="AG93" s="61"/>
      <c r="AH93" s="61"/>
      <c r="AI93" s="61"/>
      <c r="AJ93" s="61"/>
      <c r="AK93" s="62"/>
      <c r="AM93" s="72"/>
      <c r="AN93" s="73"/>
      <c r="AO93" s="73"/>
      <c r="AP93" s="73"/>
      <c r="AQ93" s="73"/>
      <c r="AR93" s="73"/>
      <c r="AS93" s="73"/>
      <c r="AT93" s="74" t="s">
        <v>177</v>
      </c>
      <c r="AU93" s="475">
        <f>IF(H51="yes",           IF(H15="Imperial",             ((AU77+(2*AU81)+10)*(AU79+(2*AU81)+10))/9,                (AU77+(2*AU81)+3.05)*(AU79+(2*AU81)+3.05)),            0)</f>
        <v>0</v>
      </c>
      <c r="AV93" s="475"/>
      <c r="AW93" s="475"/>
      <c r="AX93" s="75" t="str">
        <f>IF($H$15="Imperial","Square Yards", "Square Meters")</f>
        <v>Square Yards</v>
      </c>
      <c r="AY93" s="76"/>
      <c r="AZ93" s="73"/>
      <c r="BA93" s="77"/>
      <c r="BC93" s="428"/>
      <c r="BD93" s="429"/>
      <c r="BE93" s="429"/>
      <c r="BF93" s="429"/>
      <c r="BG93" s="429"/>
      <c r="BH93" s="429"/>
      <c r="BI93" s="429"/>
      <c r="BJ93" s="429"/>
      <c r="BK93" s="429"/>
      <c r="BL93" s="429"/>
      <c r="BM93" s="429"/>
      <c r="BN93" s="429"/>
      <c r="BO93" s="429"/>
      <c r="BP93" s="429"/>
      <c r="BQ93" s="429"/>
      <c r="BR93" s="430"/>
      <c r="BV93" s="458"/>
      <c r="BW93" s="127" t="str">
        <f>IF($H$15="Imperial","Storage Volume (ft²)","Storage Volume (m²)")</f>
        <v>Storage Volume (ft²)</v>
      </c>
      <c r="BX93" s="350">
        <f>SUMIFS($BY$166:$BY$199,$BW$166:$BW$199,$H$19,$BX$166:$BX$199,$BW93)</f>
        <v>93.05</v>
      </c>
      <c r="BY93" s="265">
        <f>IF($H$15="Imperial",              (((BY89*BY91*BY92)/1728)-BX93)*($H$33/100),              ((((BY89*BY91*BY92)/1000000000)-BX93)*($H$33/100)))</f>
        <v>-37.22</v>
      </c>
      <c r="BZ93" s="265">
        <f>IF($H$15="Imperial",                    ((((BZ89*BZ91*BZ92)/1728)-BX93)*($H$33/100)),                     ((((BZ89*BZ91*BX92)/1000000000)-BX93)*($H$33/100))+0.18)</f>
        <v>-37.22</v>
      </c>
      <c r="CA93" s="265">
        <f>BX93+BY93</f>
        <v>55.83</v>
      </c>
      <c r="CB93" s="265">
        <f>BX93+BZ93</f>
        <v>55.83</v>
      </c>
      <c r="CC93" s="350">
        <f>SUMIFS($BZ$166:$BZ$199,$BW$166:$BW$199,$H$19,$BX$166:$BX$199,$BW93)</f>
        <v>88</v>
      </c>
      <c r="CD93" s="265">
        <f>IF($H$15="Imperial",                    ((((CD89*CD91*CD92)/1728)-CC93)*($H$33/100)),                          ((((CD89*CD91*CD92)/1000000000)-CC93)*($H$33/100)))</f>
        <v>-35.200000000000003</v>
      </c>
      <c r="CE93" s="265">
        <f>IF($H$15="Imperial",                    ((((CE89*CE91*CE92)/1728)-CC93)*($H$33/100)),                     ((((CE89*CE91*CE92)/1000000000)-CC93)*($H$33/100)))</f>
        <v>-35.200000000000003</v>
      </c>
      <c r="CF93" s="265">
        <f>CC93+CD93</f>
        <v>52.8</v>
      </c>
      <c r="CG93" s="265">
        <f>CC93+CE93</f>
        <v>52.8</v>
      </c>
      <c r="CJ93" s="154" t="str">
        <f>IF($H$23=1,"Min number of chambers per full Row","Max number of chambers per Row")</f>
        <v>Max number of chambers per Row</v>
      </c>
      <c r="CK93" s="154"/>
      <c r="CL93" s="154"/>
      <c r="CM93" s="154"/>
      <c r="CN93" s="272">
        <f>CS119</f>
        <v>0</v>
      </c>
      <c r="CP93" s="496"/>
      <c r="CQ93" s="496"/>
      <c r="CR93" s="496"/>
      <c r="CS93" s="498"/>
      <c r="CT93" s="498"/>
      <c r="CU93" s="498"/>
      <c r="CV93" s="498"/>
      <c r="CW93" s="495"/>
      <c r="CX93" s="496" t="str">
        <f>IF(CS2=1,      "Maximum Number of Rows",                 "Minimum Number of Rows")</f>
        <v>Minimum Number of Rows</v>
      </c>
      <c r="CY93" s="496"/>
      <c r="CZ93" s="498" t="str">
        <f>IF(CS2=1,             "N/A",                "Maximum Number of Chambers per Full Row")</f>
        <v>Maximum Number of Chambers per Full Row</v>
      </c>
      <c r="DB93" s="7"/>
      <c r="DC93" s="19"/>
      <c r="DD93" s="7"/>
      <c r="DE93" s="9"/>
      <c r="DF93" s="9"/>
      <c r="DG93" s="9"/>
      <c r="DH93" s="9"/>
      <c r="DI93" s="9"/>
      <c r="DJ93" s="9"/>
      <c r="DK93" s="5"/>
      <c r="DL93" s="5"/>
      <c r="DM93" s="3"/>
      <c r="DN93" s="5"/>
      <c r="DO93" s="9"/>
      <c r="DP93" s="9"/>
      <c r="DR93" s="5"/>
      <c r="DS93" s="5"/>
      <c r="DT93" s="5"/>
      <c r="DU93" s="5"/>
      <c r="DV93" s="5"/>
      <c r="DW93" s="5"/>
      <c r="DX93" s="5"/>
    </row>
    <row r="94" spans="2:128" ht="8.25" customHeight="1" x14ac:dyDescent="0.25">
      <c r="B94" s="63"/>
      <c r="C94" s="64"/>
      <c r="D94" s="64"/>
      <c r="E94" s="64"/>
      <c r="F94" s="64"/>
      <c r="G94" s="64"/>
      <c r="H94" s="207"/>
      <c r="I94" s="207"/>
      <c r="J94" s="64"/>
      <c r="K94" s="64"/>
      <c r="L94" s="65"/>
      <c r="M94" s="63"/>
      <c r="N94" s="64"/>
      <c r="O94" s="64"/>
      <c r="P94" s="64"/>
      <c r="Q94" s="64"/>
      <c r="R94" s="64"/>
      <c r="S94" s="64"/>
      <c r="T94" s="64"/>
      <c r="U94" s="64"/>
      <c r="V94" s="64"/>
      <c r="W94" s="64"/>
      <c r="X94" s="64"/>
      <c r="Y94" s="64"/>
      <c r="Z94" s="64"/>
      <c r="AA94" s="64"/>
      <c r="AB94" s="64"/>
      <c r="AC94" s="64"/>
      <c r="AD94" s="64"/>
      <c r="AE94" s="64"/>
      <c r="AF94" s="64"/>
      <c r="AG94" s="64"/>
      <c r="AH94" s="64"/>
      <c r="AI94" s="64"/>
      <c r="AJ94" s="64"/>
      <c r="AK94" s="65"/>
      <c r="AM94" s="42"/>
      <c r="AN94" s="23"/>
      <c r="AO94" s="23"/>
      <c r="AP94" s="23"/>
      <c r="AQ94" s="23"/>
      <c r="AR94" s="23"/>
      <c r="AS94" s="23"/>
      <c r="AT94" s="23"/>
      <c r="AU94" s="23"/>
      <c r="AV94" s="23"/>
      <c r="AW94" s="23"/>
      <c r="AX94" s="23"/>
      <c r="AY94" s="23"/>
      <c r="AZ94" s="37"/>
      <c r="BA94" s="33"/>
      <c r="BC94" s="431"/>
      <c r="BD94" s="432"/>
      <c r="BE94" s="432"/>
      <c r="BF94" s="432"/>
      <c r="BG94" s="432"/>
      <c r="BH94" s="432"/>
      <c r="BI94" s="432"/>
      <c r="BJ94" s="432"/>
      <c r="BK94" s="432"/>
      <c r="BL94" s="432"/>
      <c r="BM94" s="432"/>
      <c r="BN94" s="432"/>
      <c r="BO94" s="432"/>
      <c r="BP94" s="432"/>
      <c r="BQ94" s="432"/>
      <c r="BR94" s="433"/>
      <c r="BV94" s="517" t="s">
        <v>160</v>
      </c>
      <c r="BW94" s="517"/>
      <c r="BX94" s="517"/>
      <c r="BY94" s="127">
        <f>IF(H37&lt;3,       0,         BY91*BY89*BY92)</f>
        <v>0</v>
      </c>
      <c r="BZ94" s="127">
        <f>IF(H37&lt;3,      0,        BZ91*BZ89*BZ92)</f>
        <v>0</v>
      </c>
      <c r="CA94" s="130">
        <f>IF(H15="Imperial",         IF(H37&lt;3,        0,           (CA93*1728)/BY94),           IF(H37&lt;3,       0,            (CA93*1000000000)/BY94))</f>
        <v>0</v>
      </c>
      <c r="CB94" s="130">
        <f>IF(H15="Imperial",         IF(H37&lt;3,       0,          (CB93*1728)/BZ94),         IF(H37&lt;3,        0,         (CB93*1000000000)/BZ94))</f>
        <v>0</v>
      </c>
      <c r="CC94" s="127"/>
      <c r="CD94" s="127">
        <f>IF(H37&lt;3,      0,         CD89*CD91*CD92)</f>
        <v>0</v>
      </c>
      <c r="CE94" s="127">
        <f>IF(H37&lt;3,          0,        CE89*CE91*CE92)</f>
        <v>0</v>
      </c>
      <c r="CF94" s="127">
        <f>IF(H15="Imperial",         IF(H37&lt;3,         0,           (CF93*1728)/CD94),          IF(H37&lt;3,         0,         (CF93*1000000000)/CD94))</f>
        <v>0</v>
      </c>
      <c r="CG94" s="127">
        <f>IF(H15="Imperial",        IF(H37&lt;3,      0,         (CG93*1728)/CE94),        IF(H37&lt;3,         0,          (CG93*1000000000)/CE94))</f>
        <v>0</v>
      </c>
      <c r="CJ94" s="154" t="s">
        <v>105</v>
      </c>
      <c r="CK94" s="154"/>
      <c r="CL94" s="154"/>
      <c r="CM94" s="154"/>
      <c r="CN94" s="272">
        <f>CS116</f>
        <v>0</v>
      </c>
      <c r="CP94" s="495">
        <f>CP81</f>
        <v>0</v>
      </c>
      <c r="CQ94" s="495">
        <f>CN92</f>
        <v>0</v>
      </c>
      <c r="CR94" s="495">
        <f>IF(CQ94=1,       1,        2)</f>
        <v>2</v>
      </c>
      <c r="CS94" s="493">
        <f>IF(CQ94&lt;3,      0,        CQ94-2)</f>
        <v>0</v>
      </c>
      <c r="CT94" s="493">
        <f>IF(CQ94=1,       IF(CP94&lt;=BY23,       BY23,      CF23/2),                     IF(CQ94=2,       IF(CP94&lt;=CC23,        CC23,   2*CA81),                  IF(CP94&lt;=(CC23+(CS94*CG27)),                          CC23,         2*CA81)))</f>
        <v>19.571999999999989</v>
      </c>
      <c r="CU94" s="493"/>
      <c r="CV94" s="493">
        <f>IF(CS94=0,           0,        IF((CP94-CT94)&lt;=(CS94*CG27),             CS94*CG27,   CS94*CB81))</f>
        <v>0</v>
      </c>
      <c r="CW94" s="495"/>
      <c r="CX94" s="496"/>
      <c r="CY94" s="496"/>
      <c r="CZ94" s="498"/>
      <c r="DB94" s="6"/>
      <c r="DC94" s="6"/>
      <c r="DD94" s="6"/>
      <c r="DE94" s="6"/>
      <c r="DF94" s="6"/>
      <c r="DG94" s="6"/>
      <c r="DH94" s="6"/>
      <c r="DI94" s="12"/>
      <c r="DJ94" s="6"/>
      <c r="DK94" s="6"/>
      <c r="DL94" s="5"/>
      <c r="DM94" s="3"/>
      <c r="DN94" s="5"/>
      <c r="DO94" s="9"/>
      <c r="DP94" s="9"/>
      <c r="DR94" s="5"/>
      <c r="DS94" s="5"/>
      <c r="DT94" s="5"/>
      <c r="DU94" s="5"/>
      <c r="DV94" s="5"/>
      <c r="DW94" s="5"/>
      <c r="DX94" s="5"/>
    </row>
    <row r="95" spans="2:128" s="189" customFormat="1" ht="37.5" customHeight="1" x14ac:dyDescent="0.25">
      <c r="B95" s="188"/>
      <c r="C95" s="188"/>
      <c r="D95" s="188"/>
      <c r="E95" s="188"/>
      <c r="F95" s="188"/>
      <c r="G95" s="188"/>
      <c r="H95" s="208"/>
      <c r="I95" s="208"/>
      <c r="J95" s="188"/>
      <c r="K95" s="188"/>
      <c r="L95" s="188"/>
      <c r="M95" s="188"/>
      <c r="N95" s="188"/>
      <c r="AJ95" s="188"/>
      <c r="AK95" s="188"/>
      <c r="AZ95" s="190"/>
      <c r="BV95" s="392"/>
      <c r="BW95" s="392"/>
      <c r="BX95" s="392"/>
      <c r="BY95" s="393"/>
      <c r="BZ95" s="393"/>
      <c r="CA95" s="394"/>
      <c r="CB95" s="394"/>
      <c r="CC95" s="393"/>
      <c r="CD95" s="393"/>
      <c r="CE95" s="393"/>
      <c r="CF95" s="393"/>
      <c r="CG95" s="393"/>
      <c r="CJ95" s="395"/>
      <c r="CK95" s="395"/>
      <c r="CL95" s="395"/>
      <c r="CM95" s="395"/>
      <c r="CN95" s="396"/>
      <c r="CP95" s="495"/>
      <c r="CQ95" s="495"/>
      <c r="CR95" s="495"/>
      <c r="CS95" s="493"/>
      <c r="CT95" s="493"/>
      <c r="CU95" s="493"/>
      <c r="CV95" s="493"/>
      <c r="CW95" s="495"/>
      <c r="CX95" s="397"/>
      <c r="CY95" s="397"/>
      <c r="CZ95" s="398"/>
      <c r="DB95" s="399"/>
      <c r="DC95" s="399"/>
      <c r="DD95" s="399"/>
      <c r="DE95" s="399"/>
      <c r="DF95" s="399"/>
      <c r="DG95" s="399"/>
      <c r="DH95" s="399"/>
      <c r="DI95" s="400"/>
      <c r="DJ95" s="399"/>
      <c r="DK95" s="399"/>
      <c r="DL95" s="401"/>
      <c r="DM95" s="402"/>
      <c r="DN95" s="401"/>
      <c r="DO95" s="403"/>
      <c r="DP95" s="403"/>
      <c r="DR95" s="401"/>
      <c r="DS95" s="401"/>
      <c r="DT95" s="401"/>
      <c r="DU95" s="401"/>
      <c r="DV95" s="401"/>
      <c r="DW95" s="401"/>
      <c r="DX95" s="401"/>
    </row>
    <row r="96" spans="2:128" s="189" customFormat="1" ht="15" customHeight="1" x14ac:dyDescent="0.25">
      <c r="H96" s="360"/>
      <c r="I96" s="360"/>
      <c r="BV96" s="464" t="str">
        <f>IF($H$37=4,"Bottom Layer","")</f>
        <v/>
      </c>
      <c r="BW96" s="464"/>
      <c r="BX96" s="464" t="s">
        <v>138</v>
      </c>
      <c r="BY96" s="464"/>
      <c r="BZ96" s="464"/>
      <c r="CA96" s="464"/>
      <c r="CB96" s="464"/>
      <c r="CC96" s="464" t="s">
        <v>139</v>
      </c>
      <c r="CD96" s="464"/>
      <c r="CE96" s="464"/>
      <c r="CF96" s="464"/>
      <c r="CG96" s="464"/>
      <c r="CJ96" s="404" t="s">
        <v>106</v>
      </c>
      <c r="CK96" s="404"/>
      <c r="CL96" s="404"/>
      <c r="CM96" s="404"/>
      <c r="CN96" s="405" t="str">
        <f>IF(CS117=0,    "no",        "yes")</f>
        <v>no</v>
      </c>
      <c r="CO96" s="406"/>
      <c r="CP96" s="495"/>
      <c r="CQ96" s="495"/>
      <c r="CR96" s="495"/>
      <c r="CS96" s="493"/>
      <c r="CT96" s="493"/>
      <c r="CU96" s="493"/>
      <c r="CV96" s="493"/>
      <c r="CW96" s="495"/>
      <c r="CX96" s="455">
        <f>IF(CS2=1,            CW81,        CT88)</f>
        <v>1</v>
      </c>
      <c r="CY96" s="455"/>
      <c r="CZ96" s="593">
        <f>IF(CS2=1,         0,                             CW81)</f>
        <v>1</v>
      </c>
      <c r="DA96" s="406"/>
      <c r="DB96" s="399"/>
      <c r="DC96" s="399"/>
      <c r="DD96" s="399"/>
      <c r="DE96" s="399"/>
      <c r="DF96" s="399"/>
      <c r="DG96" s="399"/>
      <c r="DH96" s="399"/>
      <c r="DI96" s="400"/>
      <c r="DJ96" s="399"/>
      <c r="DK96" s="399"/>
      <c r="DL96" s="401"/>
      <c r="DM96" s="402"/>
      <c r="DN96" s="401"/>
      <c r="DO96" s="403"/>
      <c r="DP96" s="403"/>
      <c r="DQ96" s="401"/>
      <c r="DR96" s="401"/>
      <c r="DS96" s="401"/>
      <c r="DT96" s="401"/>
      <c r="DU96" s="401"/>
      <c r="DV96" s="401"/>
      <c r="DW96" s="401"/>
      <c r="DX96" s="401"/>
    </row>
    <row r="97" spans="2:128" s="189" customFormat="1" ht="15" customHeight="1" x14ac:dyDescent="0.25">
      <c r="B97" s="339"/>
      <c r="H97" s="360"/>
      <c r="I97" s="360"/>
      <c r="AM97" s="388"/>
      <c r="AN97" s="407"/>
      <c r="AO97" s="407"/>
      <c r="AP97" s="407"/>
      <c r="AQ97" s="407"/>
      <c r="AR97" s="407"/>
      <c r="AS97" s="407"/>
      <c r="AT97" s="407"/>
      <c r="AU97" s="407"/>
      <c r="AV97" s="407"/>
      <c r="AW97" s="407"/>
      <c r="AX97" s="339"/>
      <c r="BV97" s="408"/>
      <c r="BW97" s="408"/>
      <c r="BX97" s="588" t="s">
        <v>143</v>
      </c>
      <c r="BY97" s="438" t="s">
        <v>144</v>
      </c>
      <c r="BZ97" s="438" t="s">
        <v>145</v>
      </c>
      <c r="CA97" s="438" t="s">
        <v>146</v>
      </c>
      <c r="CB97" s="438" t="s">
        <v>147</v>
      </c>
      <c r="CC97" s="588" t="s">
        <v>143</v>
      </c>
      <c r="CD97" s="438" t="s">
        <v>144</v>
      </c>
      <c r="CE97" s="438" t="s">
        <v>145</v>
      </c>
      <c r="CF97" s="438" t="s">
        <v>146</v>
      </c>
      <c r="CG97" s="438" t="s">
        <v>147</v>
      </c>
      <c r="CJ97" s="404" t="s">
        <v>107</v>
      </c>
      <c r="CK97" s="404"/>
      <c r="CL97" s="404"/>
      <c r="CM97" s="404"/>
      <c r="CN97" s="409">
        <f>CN79+CN82+CN85+CN88</f>
        <v>0</v>
      </c>
      <c r="CO97" s="406"/>
      <c r="CP97" s="524" t="s">
        <v>83</v>
      </c>
      <c r="CQ97" s="524"/>
      <c r="CR97" s="528" t="s">
        <v>84</v>
      </c>
      <c r="CS97" s="528" t="s">
        <v>85</v>
      </c>
      <c r="CT97" s="528"/>
      <c r="CU97" s="527" t="s">
        <v>86</v>
      </c>
      <c r="CV97" s="527"/>
      <c r="CW97" s="495"/>
      <c r="CX97" s="455"/>
      <c r="CY97" s="455"/>
      <c r="CZ97" s="593"/>
      <c r="DA97" s="406"/>
      <c r="DB97" s="190"/>
      <c r="DC97" s="190"/>
      <c r="DD97" s="190"/>
      <c r="DE97" s="190"/>
      <c r="DF97" s="190"/>
      <c r="DG97" s="190"/>
      <c r="DH97" s="190"/>
      <c r="DI97" s="400"/>
      <c r="DJ97" s="190"/>
      <c r="DK97" s="190"/>
      <c r="DL97" s="401"/>
      <c r="DM97" s="402"/>
      <c r="DN97" s="401"/>
      <c r="DO97" s="403"/>
      <c r="DP97" s="403"/>
      <c r="DQ97" s="401"/>
      <c r="DR97" s="401"/>
      <c r="DS97" s="401"/>
      <c r="DT97" s="401"/>
      <c r="DU97" s="401"/>
      <c r="DV97" s="401"/>
      <c r="DW97" s="401"/>
      <c r="DX97" s="401"/>
    </row>
    <row r="98" spans="2:128" s="189" customFormat="1" ht="15" customHeight="1" x14ac:dyDescent="0.25">
      <c r="H98" s="360"/>
      <c r="I98" s="410"/>
      <c r="BV98" s="454" t="str">
        <f>IF($H$37&gt;3,$H$19,"")</f>
        <v/>
      </c>
      <c r="BW98" s="393"/>
      <c r="BX98" s="588"/>
      <c r="BY98" s="438"/>
      <c r="BZ98" s="438"/>
      <c r="CA98" s="438"/>
      <c r="CB98" s="438"/>
      <c r="CC98" s="588"/>
      <c r="CD98" s="438"/>
      <c r="CE98" s="438"/>
      <c r="CF98" s="438"/>
      <c r="CG98" s="438"/>
      <c r="CJ98" s="521" t="s">
        <v>113</v>
      </c>
      <c r="CK98" s="521"/>
      <c r="CL98" s="521"/>
      <c r="CM98" s="521"/>
      <c r="CN98" s="411">
        <f>IF(H37&lt;2,         0,        IF(H15="Imperial",      IF(CN93=1,            (BY5+H55+H55)/12,                          IF(CN93=2,         (2*BY79)/12,                      (((CN93-2)*CD79)+(2*BY79))/12)),                                                                                                            IF(CN93=1,                     (BY5+H55+H55)/1000,               IF(CN93=2,         (CN93*BY79)/1000,         (((CN93-2)*CD79)+(2*BY79))/1000))))</f>
        <v>0</v>
      </c>
      <c r="CO98" s="406"/>
      <c r="CP98" s="524"/>
      <c r="CQ98" s="524"/>
      <c r="CR98" s="528"/>
      <c r="CS98" s="528"/>
      <c r="CT98" s="528"/>
      <c r="CU98" s="527"/>
      <c r="CV98" s="527"/>
      <c r="CW98" s="495"/>
      <c r="CX98" s="527" t="s">
        <v>94</v>
      </c>
      <c r="CY98" s="527"/>
      <c r="CZ98" s="527"/>
      <c r="DA98" s="406"/>
      <c r="DB98" s="190"/>
      <c r="DC98" s="190"/>
      <c r="DD98" s="190"/>
      <c r="DE98" s="190"/>
      <c r="DF98" s="190"/>
      <c r="DG98" s="190"/>
      <c r="DH98" s="190"/>
      <c r="DI98" s="400"/>
      <c r="DJ98" s="190"/>
      <c r="DK98" s="190"/>
      <c r="DL98" s="401"/>
      <c r="DM98" s="402"/>
      <c r="DN98" s="401"/>
      <c r="DO98" s="401"/>
      <c r="DP98" s="401"/>
      <c r="DQ98" s="401"/>
      <c r="DR98" s="401"/>
      <c r="DS98" s="401"/>
      <c r="DT98" s="401"/>
      <c r="DU98" s="401"/>
      <c r="DV98" s="401"/>
      <c r="DW98" s="401"/>
      <c r="DX98" s="401"/>
    </row>
    <row r="99" spans="2:128" s="189" customFormat="1" ht="15" customHeight="1" x14ac:dyDescent="0.25">
      <c r="B99" s="339"/>
      <c r="H99" s="360"/>
      <c r="I99" s="360"/>
      <c r="AX99" s="339"/>
      <c r="BV99" s="454"/>
      <c r="BW99" s="393"/>
      <c r="BX99" s="588"/>
      <c r="BY99" s="438"/>
      <c r="BZ99" s="438"/>
      <c r="CA99" s="438"/>
      <c r="CB99" s="438"/>
      <c r="CC99" s="588"/>
      <c r="CD99" s="438"/>
      <c r="CE99" s="438"/>
      <c r="CF99" s="438"/>
      <c r="CG99" s="438"/>
      <c r="CJ99" s="521" t="s">
        <v>114</v>
      </c>
      <c r="CK99" s="521"/>
      <c r="CL99" s="521"/>
      <c r="CM99" s="521"/>
      <c r="CN99" s="412">
        <f>IF(H37&lt;2,     0,         IF(H15="Imperial",       IF(CN92=1,                    (BY77+H55-(H45/2))/12,                        IF(CN92=2,             (2*BY77)/12,                   (((CN92-2)*BZ77)+(2*BY77))/12)),                                                                                                               IF(CN92=1,                                     (BY77+H55-(H45/2))/1000,               IF(CN92=2,             (2*BY77)/1000,              (((CN92-2)*BZ77)+(2*BY77))/1000))))</f>
        <v>0</v>
      </c>
      <c r="CO99" s="406"/>
      <c r="CP99" s="524"/>
      <c r="CQ99" s="524"/>
      <c r="CR99" s="528"/>
      <c r="CS99" s="528"/>
      <c r="CT99" s="528"/>
      <c r="CU99" s="527"/>
      <c r="CV99" s="527"/>
      <c r="CW99" s="495"/>
      <c r="CX99" s="527"/>
      <c r="CY99" s="527"/>
      <c r="CZ99" s="527"/>
      <c r="DA99" s="406"/>
      <c r="DB99" s="399"/>
      <c r="DC99" s="399"/>
      <c r="DD99" s="399"/>
      <c r="DE99" s="399"/>
      <c r="DF99" s="399"/>
      <c r="DG99" s="399"/>
      <c r="DH99" s="399"/>
      <c r="DI99" s="399"/>
      <c r="DJ99" s="399"/>
      <c r="DK99" s="399"/>
      <c r="DL99" s="401"/>
      <c r="DM99" s="402"/>
      <c r="DN99" s="401"/>
      <c r="DO99" s="401"/>
      <c r="DP99" s="401"/>
      <c r="DQ99" s="401"/>
      <c r="DR99" s="401"/>
      <c r="DS99" s="401"/>
      <c r="DT99" s="401"/>
      <c r="DU99" s="401"/>
      <c r="DV99" s="401"/>
      <c r="DW99" s="401"/>
      <c r="DX99" s="401"/>
    </row>
    <row r="100" spans="2:128" s="189" customFormat="1" ht="15" customHeight="1" x14ac:dyDescent="0.25">
      <c r="B100" s="413"/>
      <c r="C100" s="413"/>
      <c r="D100" s="413"/>
      <c r="E100" s="413"/>
      <c r="F100" s="413"/>
      <c r="G100" s="413"/>
      <c r="H100" s="360"/>
      <c r="I100" s="360"/>
      <c r="AR100" s="359"/>
      <c r="AS100" s="359"/>
      <c r="AT100" s="359"/>
      <c r="AU100" s="359"/>
      <c r="AV100" s="359"/>
      <c r="AW100" s="359"/>
      <c r="BV100" s="454"/>
      <c r="BW100" s="455" t="str">
        <f>IF($H$15="Imperial","Height (in)","Height (mm)")</f>
        <v>Height (in)</v>
      </c>
      <c r="BX100" s="456">
        <v>44</v>
      </c>
      <c r="BY100" s="456">
        <f>IF($H$37&lt;3,          0,            BX100+$H$29+($H$39/2))</f>
        <v>0</v>
      </c>
      <c r="BZ100" s="456">
        <f>IF($H$37&lt;3,         0,        BX100+$H$29+($H$39/2))</f>
        <v>0</v>
      </c>
      <c r="CA100" s="457"/>
      <c r="CB100" s="457"/>
      <c r="CC100" s="456">
        <v>44</v>
      </c>
      <c r="CD100" s="456">
        <f>IF($H$37&lt;3,       0,             CC100+$H$29+($H$39/2))</f>
        <v>0</v>
      </c>
      <c r="CE100" s="456">
        <f>IF($H$37&lt;3,        0,         CC100+$H$29+($H$39/2))</f>
        <v>0</v>
      </c>
      <c r="CF100" s="457"/>
      <c r="CG100" s="457"/>
      <c r="CJ100" s="414" t="s">
        <v>116</v>
      </c>
      <c r="CK100" s="415">
        <f>CL79+CL82+CL85+CL88</f>
        <v>0</v>
      </c>
      <c r="CL100" s="612" t="s">
        <v>117</v>
      </c>
      <c r="CM100" s="612"/>
      <c r="CN100" s="411">
        <f>CM79+CM82+CM85+CM88</f>
        <v>0</v>
      </c>
      <c r="CO100" s="406"/>
      <c r="CP100" s="524"/>
      <c r="CQ100" s="524"/>
      <c r="CR100" s="455">
        <f>IF(CQ94=1,         IF(CP94&lt;=BY23,       1,        2),                 IF(CQ94=2,              IF(CP94&lt;=CC23,            1,           2),                IF(CP94&lt;=(CC23+(CS94*CG27)),        1,      2)))</f>
        <v>1</v>
      </c>
      <c r="CS100" s="455">
        <f>IF(CP94&lt;=(2*(CT94+CV94)),     0,     IF(AND(CQ94=1,CP94&lt;=CF23), 0,  IF(H15="Imperial",      IF(CQ94=1,        ROUNDUP((CP94-(CF23))/(CF81+((((H55-(H45/2))*CD75*CD79)/1728)*(H33/100))),0),                                        IF(CQ94=2,             ROUNDUP((CP94-(2*CT94))/(2*CF81),0),                   ROUNDUP((CP94-(2*(CT94+CV94)))/((2*CF81)+(CS94*CG81)),0))),                                                                                                                                                                                                           IF(CQ94=1,                        ROUNDUP((CP94-(CF23))/(CF81+((((H55-(H45/2))*CD75*CD79)/1000000000)*(H33/100))),0),                                                                                                                                                             IF(CQ94=2,                        ROUNDUP((CP94-(2*CT94))/(2*CF81),0),            ROUNDUP((CP94-(2*(CT94+CV94)))/((2*CF81)+(CS94*CG81)),0))))))</f>
        <v>0</v>
      </c>
      <c r="CT100" s="455"/>
      <c r="CU100" s="455">
        <f>CR100+CS100</f>
        <v>1</v>
      </c>
      <c r="CV100" s="455"/>
      <c r="CW100" s="495"/>
      <c r="CX100" s="528" t="s">
        <v>101</v>
      </c>
      <c r="CY100" s="528"/>
      <c r="CZ100" s="540" t="s">
        <v>102</v>
      </c>
      <c r="DA100" s="406"/>
      <c r="DB100" s="399"/>
      <c r="DC100" s="399"/>
      <c r="DD100" s="399"/>
      <c r="DE100" s="399"/>
      <c r="DF100" s="399"/>
      <c r="DG100" s="399"/>
      <c r="DH100" s="399"/>
      <c r="DI100" s="399"/>
      <c r="DJ100" s="399"/>
      <c r="DK100" s="399"/>
      <c r="DL100" s="416"/>
      <c r="DM100" s="417"/>
      <c r="DN100" s="401"/>
      <c r="DO100" s="401"/>
      <c r="DP100" s="401"/>
      <c r="DQ100" s="401"/>
      <c r="DR100" s="401"/>
      <c r="DS100" s="401"/>
      <c r="DT100" s="401"/>
      <c r="DU100" s="401"/>
      <c r="DV100" s="401"/>
      <c r="DW100" s="401"/>
      <c r="DX100" s="401"/>
    </row>
    <row r="101" spans="2:128" s="189" customFormat="1" ht="15" customHeight="1" x14ac:dyDescent="0.25">
      <c r="H101" s="360"/>
      <c r="I101" s="360"/>
      <c r="AZ101" s="413"/>
      <c r="BA101" s="413"/>
      <c r="BV101" s="454"/>
      <c r="BW101" s="455"/>
      <c r="BX101" s="456"/>
      <c r="BY101" s="456"/>
      <c r="BZ101" s="456"/>
      <c r="CA101" s="457"/>
      <c r="CB101" s="457"/>
      <c r="CC101" s="456"/>
      <c r="CD101" s="456"/>
      <c r="CE101" s="456"/>
      <c r="CF101" s="457"/>
      <c r="CG101" s="457"/>
      <c r="CJ101" s="415"/>
      <c r="CK101" s="415"/>
      <c r="CL101" s="415"/>
      <c r="CM101" s="415"/>
      <c r="CN101" s="396"/>
      <c r="CO101" s="406"/>
      <c r="CP101" s="524"/>
      <c r="CQ101" s="524"/>
      <c r="CR101" s="455"/>
      <c r="CS101" s="455"/>
      <c r="CT101" s="455"/>
      <c r="CU101" s="455"/>
      <c r="CV101" s="455"/>
      <c r="CW101" s="495"/>
      <c r="CX101" s="528"/>
      <c r="CY101" s="528"/>
      <c r="CZ101" s="540"/>
      <c r="DA101" s="406"/>
      <c r="DB101" s="190"/>
      <c r="DC101" s="190"/>
      <c r="DD101" s="190"/>
      <c r="DE101" s="190"/>
      <c r="DF101" s="190"/>
      <c r="DG101" s="190"/>
      <c r="DH101" s="190"/>
      <c r="DI101" s="403"/>
      <c r="DJ101" s="416"/>
      <c r="DK101" s="416"/>
      <c r="DL101" s="416"/>
      <c r="DM101" s="417"/>
      <c r="DN101" s="401"/>
      <c r="DO101" s="401"/>
      <c r="DP101" s="401"/>
      <c r="DQ101" s="401"/>
      <c r="DR101" s="401"/>
      <c r="DS101" s="401"/>
      <c r="DT101" s="401"/>
      <c r="DU101" s="401"/>
      <c r="DV101" s="401"/>
      <c r="DW101" s="401"/>
      <c r="DX101" s="401"/>
    </row>
    <row r="102" spans="2:128" s="189" customFormat="1" ht="15" customHeight="1" x14ac:dyDescent="0.25">
      <c r="H102" s="360"/>
      <c r="I102" s="360"/>
      <c r="AZ102" s="413"/>
      <c r="BA102" s="370"/>
      <c r="BV102" s="454"/>
      <c r="BW102" s="393" t="str">
        <f>IF($H$15="Imperial","Width (in)","Width (mm)")</f>
        <v>Width (in)</v>
      </c>
      <c r="BX102" s="393">
        <f>SUMIFS($BY$166:$BY$199,$BW$166:$BW$199,$H$19,$BX$166:$BX$199,$BW102)</f>
        <v>80</v>
      </c>
      <c r="BY102" s="418">
        <f>IF(H15="Imperial",                BX102+($H$45/2)+(H55),                BX102+($H$45/2)+(H55))</f>
        <v>95</v>
      </c>
      <c r="BZ102" s="418">
        <f>BX102+$H$45</f>
        <v>86</v>
      </c>
      <c r="CA102" s="419"/>
      <c r="CB102" s="418"/>
      <c r="CC102" s="393">
        <f>SUMIFS($BZ$166:$BZ$199,$BW$166:$BW$199,$H$19,$BX$166:$BX$199,$BW102)</f>
        <v>80</v>
      </c>
      <c r="CD102" s="418">
        <f>IF(H15="imperial",             CC102+($H$45/2)+(H55),               CC102+($H$45/2)+(H55))</f>
        <v>95</v>
      </c>
      <c r="CE102" s="418">
        <f>CC102+$H$45</f>
        <v>86</v>
      </c>
      <c r="CF102" s="419"/>
      <c r="CG102" s="418"/>
      <c r="CJ102" s="420"/>
      <c r="CK102" s="438" t="s">
        <v>129</v>
      </c>
      <c r="CL102" s="438"/>
      <c r="CM102" s="438"/>
      <c r="CN102" s="411">
        <f>CK79+CK82+CK85+CK88</f>
        <v>0</v>
      </c>
      <c r="CO102" s="406"/>
      <c r="CP102" s="527" t="s">
        <v>97</v>
      </c>
      <c r="CQ102" s="527" t="s">
        <v>98</v>
      </c>
      <c r="CR102" s="528" t="s">
        <v>178</v>
      </c>
      <c r="CS102" s="528" t="s">
        <v>179</v>
      </c>
      <c r="CT102" s="498"/>
      <c r="CU102" s="498"/>
      <c r="CV102" s="498"/>
      <c r="CW102" s="495"/>
      <c r="CX102" s="455">
        <f>IF(H37=1,      0,             IF(H37=2,               H41,         CX96))</f>
        <v>0</v>
      </c>
      <c r="CY102" s="455"/>
      <c r="CZ102" s="593">
        <f>CU100</f>
        <v>1</v>
      </c>
      <c r="DA102" s="406"/>
      <c r="DB102" s="190"/>
      <c r="DC102" s="190"/>
      <c r="DD102" s="190"/>
      <c r="DE102" s="190"/>
      <c r="DF102" s="190"/>
      <c r="DG102" s="190"/>
      <c r="DH102" s="190"/>
      <c r="DI102" s="403"/>
      <c r="DJ102" s="416"/>
      <c r="DK102" s="416"/>
      <c r="DL102" s="416"/>
      <c r="DM102" s="417"/>
      <c r="DN102" s="401"/>
      <c r="DO102" s="401"/>
      <c r="DP102" s="401"/>
      <c r="DQ102" s="401"/>
      <c r="DR102" s="401"/>
      <c r="DS102" s="401"/>
      <c r="DT102" s="401"/>
      <c r="DU102" s="401"/>
      <c r="DV102" s="401"/>
      <c r="DW102" s="401"/>
      <c r="DX102" s="401"/>
    </row>
    <row r="103" spans="2:128" s="189" customFormat="1" ht="15" customHeight="1" x14ac:dyDescent="0.25">
      <c r="H103" s="360"/>
      <c r="I103" s="360"/>
      <c r="AZ103" s="413"/>
      <c r="BA103" s="413"/>
      <c r="BV103" s="454"/>
      <c r="BW103" s="393" t="str">
        <f>IF($H$15="Imperial","Installed Length (in)","Installed Length (mm)")</f>
        <v>Installed Length (in)</v>
      </c>
      <c r="BX103" s="393">
        <f>SUMIFS($BY$166:$BY$199,$BW$166:$BW$199,$H$19,$BX$166:$BX$199,$BW103)</f>
        <v>80</v>
      </c>
      <c r="BY103" s="418">
        <f>IF(H15="Imperial",         BX103+(H55),             BX103+(H55))</f>
        <v>92</v>
      </c>
      <c r="BZ103" s="418">
        <f>IF(H15="Imperial",             BX103+(H55),             BX103+(H55))</f>
        <v>92</v>
      </c>
      <c r="CA103" s="419"/>
      <c r="CB103" s="418"/>
      <c r="CC103" s="393">
        <f>SUMIFS($BZ$166:$BZ$199,$BW$166:$BW$199,$H$19,$BX$166:$BX$199,$BW103)</f>
        <v>74</v>
      </c>
      <c r="CD103" s="418">
        <f>CC103</f>
        <v>74</v>
      </c>
      <c r="CE103" s="418">
        <f>CC103</f>
        <v>74</v>
      </c>
      <c r="CF103" s="419"/>
      <c r="CG103" s="418"/>
      <c r="CJ103" s="421"/>
      <c r="CK103" s="421"/>
      <c r="CL103" s="421"/>
      <c r="CM103" s="421"/>
      <c r="CN103" s="421"/>
      <c r="CO103" s="406"/>
      <c r="CP103" s="527"/>
      <c r="CQ103" s="527"/>
      <c r="CR103" s="528"/>
      <c r="CS103" s="528"/>
      <c r="CT103" s="498"/>
      <c r="CU103" s="498"/>
      <c r="CV103" s="498"/>
      <c r="CW103" s="495"/>
      <c r="CX103" s="455"/>
      <c r="CY103" s="455"/>
      <c r="CZ103" s="593"/>
      <c r="DA103" s="406"/>
      <c r="DB103" s="399"/>
      <c r="DC103" s="399"/>
      <c r="DD103" s="399"/>
      <c r="DE103" s="399"/>
      <c r="DF103" s="399"/>
      <c r="DG103" s="399"/>
      <c r="DH103" s="422"/>
      <c r="DI103" s="399"/>
      <c r="DJ103" s="401"/>
      <c r="DK103" s="401"/>
      <c r="DL103" s="416"/>
      <c r="DM103" s="417"/>
      <c r="DN103" s="401"/>
      <c r="DO103" s="401"/>
      <c r="DP103" s="401"/>
      <c r="DQ103" s="401"/>
      <c r="DR103" s="401"/>
      <c r="DS103" s="401"/>
      <c r="DT103" s="401"/>
      <c r="DU103" s="401"/>
      <c r="DV103" s="401"/>
      <c r="DW103" s="401"/>
      <c r="DX103" s="401"/>
    </row>
    <row r="104" spans="2:128" s="189" customFormat="1" ht="18" customHeight="1" x14ac:dyDescent="0.25">
      <c r="B104" s="413"/>
      <c r="C104" s="413"/>
      <c r="D104" s="413"/>
      <c r="E104" s="413"/>
      <c r="F104" s="413"/>
      <c r="G104" s="413"/>
      <c r="H104" s="360"/>
      <c r="I104" s="360"/>
      <c r="AZ104" s="413"/>
      <c r="BA104" s="413"/>
      <c r="BV104" s="454"/>
      <c r="BW104" s="393" t="str">
        <f>IF($H$15="Imperial","Storage Volume (ft²)","Storage Volume (m²)")</f>
        <v>Storage Volume (ft²)</v>
      </c>
      <c r="BX104" s="393">
        <f>SUMIFS($BY$166:$BY$199,$BW$166:$BW$199,$H$19,$BX$166:$BX$199,$BW104)</f>
        <v>93.05</v>
      </c>
      <c r="BY104" s="418">
        <f>IF($H$15="Imperial",              (((BY100*BY102*BY103)/1728)-BX104)*($H$33/100),              ((((BY100*BY102*BY103)/1000000000)-BX104)*($H$33/100)))</f>
        <v>-37.22</v>
      </c>
      <c r="BZ104" s="418">
        <f>IF($H$15="Imperial",                    ((((BZ100*BZ102*BX103)/1728)-BX104)*($H$33/100)),                     ((((BZ100*BZ102*BX103)/1000000000)-BX104)*($H$33/100))+0.18)</f>
        <v>-37.22</v>
      </c>
      <c r="CA104" s="418">
        <f>BX104+BY104</f>
        <v>55.83</v>
      </c>
      <c r="CB104" s="418">
        <f>BX104+BZ104</f>
        <v>55.83</v>
      </c>
      <c r="CC104" s="393">
        <f>SUMIFS($BZ$166:$BZ$199,$BW$166:$BW$199,$H$19,$BX$166:$BX$199,$BW104)</f>
        <v>88</v>
      </c>
      <c r="CD104" s="418">
        <f>IF($H$15="Imperial",                    ((((CD100*CD102*CD103)/1728)-CC104)*($H$33/100)),                          ((((CD100*CD102*CD103)/1000000000)-CC104)*($H$33/100)))</f>
        <v>-35.200000000000003</v>
      </c>
      <c r="CE104" s="418">
        <f>IF($H$15="Imperial",                    ((((CE100*CE102*CE103)/1728)-CC104)*($H$33/100)),                     ((((CE100*CE102*CE103)/1000000000)-CC104)*($H$33/100)))</f>
        <v>-35.200000000000003</v>
      </c>
      <c r="CF104" s="418">
        <f>CC104+CD104</f>
        <v>52.8</v>
      </c>
      <c r="CG104" s="418">
        <f>CC104+CE104</f>
        <v>52.8</v>
      </c>
      <c r="CJ104" s="529" t="s">
        <v>132</v>
      </c>
      <c r="CK104" s="529"/>
      <c r="CL104" s="529"/>
      <c r="CM104" s="423">
        <f>(CA81*1728)/BY79</f>
        <v>1048.6330434782608</v>
      </c>
      <c r="CN104" s="421"/>
      <c r="CO104" s="406"/>
      <c r="CP104" s="527"/>
      <c r="CQ104" s="527"/>
      <c r="CR104" s="528"/>
      <c r="CS104" s="528"/>
      <c r="CT104" s="498"/>
      <c r="CU104" s="498"/>
      <c r="CV104" s="498"/>
      <c r="CW104" s="495"/>
      <c r="CX104" s="527" t="s">
        <v>105</v>
      </c>
      <c r="CY104" s="527"/>
      <c r="CZ104" s="528" t="s">
        <v>180</v>
      </c>
      <c r="DA104" s="406"/>
      <c r="DB104" s="399"/>
      <c r="DC104" s="399"/>
      <c r="DD104" s="399"/>
      <c r="DE104" s="399"/>
      <c r="DF104" s="399"/>
      <c r="DG104" s="399"/>
      <c r="DH104" s="422"/>
      <c r="DI104" s="399"/>
      <c r="DJ104" s="401"/>
      <c r="DK104" s="401"/>
      <c r="DL104" s="416"/>
      <c r="DM104" s="417"/>
      <c r="DN104" s="401"/>
      <c r="DO104" s="401"/>
      <c r="DP104" s="401"/>
      <c r="DQ104" s="401"/>
      <c r="DR104" s="401"/>
      <c r="DS104" s="401"/>
      <c r="DT104" s="401"/>
      <c r="DU104" s="401"/>
      <c r="DV104" s="401"/>
      <c r="DW104" s="401"/>
      <c r="DX104" s="401"/>
    </row>
    <row r="105" spans="2:128" s="189" customFormat="1" ht="18" customHeight="1" x14ac:dyDescent="0.25">
      <c r="B105" s="413"/>
      <c r="C105" s="413"/>
      <c r="D105" s="413"/>
      <c r="E105" s="413"/>
      <c r="F105" s="413"/>
      <c r="G105" s="413"/>
      <c r="H105" s="360"/>
      <c r="I105" s="360"/>
      <c r="S105" s="189" t="s">
        <v>181</v>
      </c>
      <c r="AX105" s="339"/>
      <c r="BV105" s="587" t="s">
        <v>160</v>
      </c>
      <c r="BW105" s="587"/>
      <c r="BX105" s="587"/>
      <c r="BY105" s="393">
        <f>IF(H37&lt;3,       0,         BY102*BY100*BY103)</f>
        <v>0</v>
      </c>
      <c r="BZ105" s="393">
        <f>IF(H37&lt;3,      0,        BZ102*BZ100*BZ103)</f>
        <v>0</v>
      </c>
      <c r="CA105" s="394">
        <f>IF(H15="Imperial",         IF(H37&lt;3,        0,           (CA104*1728)/BY105),           IF(H37&lt;3,       0,            (CA104*1000000000)/BY105))</f>
        <v>0</v>
      </c>
      <c r="CB105" s="394">
        <f>IF(H15="Imperial",         IF(H37&lt;3,       0,          (CB104*1728)/BZ105),         IF(H37&lt;3,        0,         (CB104*1000000000)/BZ105))</f>
        <v>0</v>
      </c>
      <c r="CC105" s="393"/>
      <c r="CD105" s="393">
        <f>IF(H37&lt;3,      0,         CD100*CD102*CD103)</f>
        <v>0</v>
      </c>
      <c r="CE105" s="393">
        <f>IF(H37&lt;3,          0,        CE100*CE102*CE103)</f>
        <v>0</v>
      </c>
      <c r="CF105" s="393">
        <f>IF(H15="Imperial",         IF(H37&lt;3,         0,           (CF104*1728)/CD105),          IF(H37&lt;3,         0,         (CF104*1000000000)/CD105))</f>
        <v>0</v>
      </c>
      <c r="CG105" s="393">
        <f>IF(H15="Imperial",        IF(H37&lt;3,      0,         (CG104*1728)/CE105),        IF(H37&lt;3,         0,          (CG104*1000000000)/CE105))</f>
        <v>0</v>
      </c>
      <c r="CJ105" s="531" t="s">
        <v>140</v>
      </c>
      <c r="CK105" s="531"/>
      <c r="CL105" s="531"/>
      <c r="CM105" s="424">
        <f>(CA81*1728)/BY77</f>
        <v>1015.5183157894736</v>
      </c>
      <c r="CN105" s="421"/>
      <c r="CO105" s="406"/>
      <c r="CP105" s="497">
        <f>IF(H15="Imperial",   IF(CQ94=1,   IF(CU100=1,   BY23,   IF(CU100=2,  CF23,  (2*(CA81+((((H55-(H45/2))*BY75*BY79)/1728)*(H33/100)))+(CS100*(CF81+((((H55-(H45/2))*CD75*CD79)/1728)*(H33/100))))))),                                                                                                              IF(CU100=1,          CC23+(CS100*CG27),             IF(CU100=2,              2*CA81,               (2*CA81)+(CS100*CF81)))),                                                                                                                                                                                              IF(CQ94=1,       IF(CU100=1,   BY23,   IF(CU100=2,    CF23,    (2*(CA81+((((H55-(H45/2))*BY75*BY79)/1000000000)*(H33/100)))+(CS100*(CF81+((((H55-(H45/2))*CD75*CD79)/1000000000)*(H33/100))))))),                                                                                                              IF(CU100=1,          CC23+(CS100*CG27),             IF(CU100=2,              2*CA81,               (2*CA81)+(CS100*CF81)))))</f>
        <v>19.571999999999989</v>
      </c>
      <c r="CQ105" s="497">
        <f>IF(CS94=0,                       0,                          IF(CU100=1,                           CG27,               IF(CU100=2,                  2*CB81,                    (2*CB81)+(CS100*CG81))))</f>
        <v>0</v>
      </c>
      <c r="CR105" s="498">
        <f>IF(H37=1,          0,           IF(CQ94=1,             1,         IF(CQ94=2,                 ROUNDDOWN((CP94/CP105),0),                      ROUNDDOWN((CP94-(2*CP105))/CQ105,0)+2)))</f>
        <v>0</v>
      </c>
      <c r="CS105" s="498">
        <f>IF(CQ94&lt;3,                 0,                     ROUNDDOWN((CP94-(2*CP105))/CQ105,0))</f>
        <v>0</v>
      </c>
      <c r="CT105" s="498"/>
      <c r="CU105" s="498"/>
      <c r="CV105" s="498"/>
      <c r="CW105" s="495"/>
      <c r="CX105" s="527"/>
      <c r="CY105" s="527"/>
      <c r="CZ105" s="528"/>
      <c r="DA105" s="406"/>
      <c r="DB105" s="190"/>
      <c r="DC105" s="190"/>
      <c r="DD105" s="190"/>
      <c r="DE105" s="190"/>
      <c r="DF105" s="190"/>
      <c r="DG105" s="190"/>
      <c r="DI105" s="190"/>
      <c r="DJ105" s="401"/>
      <c r="DK105" s="401"/>
      <c r="DL105" s="416"/>
      <c r="DM105" s="417"/>
      <c r="DN105" s="401"/>
      <c r="DO105" s="401"/>
      <c r="DP105" s="401"/>
      <c r="DQ105" s="401"/>
      <c r="DR105" s="401"/>
      <c r="DS105" s="401"/>
      <c r="DT105" s="401"/>
      <c r="DU105" s="401"/>
      <c r="DV105" s="401"/>
      <c r="DW105" s="401"/>
      <c r="DX105" s="401"/>
    </row>
    <row r="106" spans="2:128" ht="15" customHeight="1" x14ac:dyDescent="0.25">
      <c r="B106" s="13"/>
      <c r="C106" s="13"/>
      <c r="D106" s="13"/>
      <c r="E106" s="13"/>
      <c r="F106" s="13"/>
      <c r="G106" s="13"/>
      <c r="J106" s="297"/>
      <c r="K106" s="297"/>
      <c r="AR106" s="27"/>
      <c r="AS106" s="27"/>
      <c r="AT106" s="27"/>
      <c r="AU106" s="27"/>
      <c r="AV106" s="27"/>
      <c r="AW106" s="27"/>
      <c r="BV106" s="515"/>
      <c r="BW106" s="515"/>
      <c r="BX106" s="515"/>
      <c r="BY106" s="515"/>
      <c r="BZ106" s="515"/>
      <c r="CA106" s="515"/>
      <c r="CB106" s="515"/>
      <c r="CC106" s="515"/>
      <c r="CD106" s="515"/>
      <c r="CE106" s="515"/>
      <c r="CF106" s="515"/>
      <c r="CG106" s="515"/>
      <c r="CJ106" s="526" t="s">
        <v>148</v>
      </c>
      <c r="CK106" s="526"/>
      <c r="CL106" s="526"/>
      <c r="CM106" s="272">
        <f>(CB81*1728)/BZ79</f>
        <v>1048.6330434782608</v>
      </c>
      <c r="CN106" s="16"/>
      <c r="CO106" s="105"/>
      <c r="CP106" s="497"/>
      <c r="CQ106" s="497"/>
      <c r="CR106" s="498"/>
      <c r="CS106" s="498"/>
      <c r="CT106" s="498"/>
      <c r="CU106" s="498"/>
      <c r="CV106" s="498"/>
      <c r="CW106" s="495"/>
      <c r="CX106" s="493">
        <f>CS116</f>
        <v>0</v>
      </c>
      <c r="CY106" s="493"/>
      <c r="CZ106" s="493">
        <f>CS118</f>
        <v>0</v>
      </c>
      <c r="DA106" s="105"/>
      <c r="DB106" s="7"/>
      <c r="DC106" s="7"/>
      <c r="DD106" s="7"/>
      <c r="DE106" s="7"/>
      <c r="DF106" s="7"/>
      <c r="DG106" s="7"/>
      <c r="DI106" s="7"/>
      <c r="DJ106" s="5"/>
      <c r="DK106" s="1"/>
      <c r="DL106" s="1"/>
      <c r="DM106" s="319"/>
      <c r="DN106" s="1"/>
      <c r="DO106" s="5"/>
      <c r="DP106" s="5"/>
      <c r="DQ106" s="5"/>
      <c r="DR106" s="5"/>
      <c r="DS106" s="5"/>
      <c r="DT106" s="5"/>
      <c r="DU106" s="5"/>
      <c r="DV106" s="5"/>
      <c r="DW106" s="5"/>
      <c r="DX106" s="5"/>
    </row>
    <row r="107" spans="2:128" ht="15" customHeight="1" x14ac:dyDescent="0.25">
      <c r="B107" s="13"/>
      <c r="C107" s="13"/>
      <c r="G107" s="13"/>
      <c r="J107" s="297"/>
      <c r="K107" s="297"/>
      <c r="AV107" s="291"/>
      <c r="BV107" s="519" t="s">
        <v>182</v>
      </c>
      <c r="BW107" s="519"/>
      <c r="BX107" s="498" t="str">
        <f>IF($H$15="Imperial","Installed Height (in)","Installed Height (mm)")</f>
        <v>Installed Height (in)</v>
      </c>
      <c r="BY107" s="498" t="str">
        <f>IF($H$15="Imperial","Width (in)","Width (mm)")</f>
        <v>Width (in)</v>
      </c>
      <c r="BZ107" s="498" t="str">
        <f>IF($H$15="Imperial","Storage Width (in)","Storage Width (mm)")</f>
        <v>Storage Width (in)</v>
      </c>
      <c r="CA107" s="498" t="str">
        <f>IF($H$15="Imperial","Length (in)","Length (mm)")</f>
        <v>Length (in)</v>
      </c>
      <c r="CB107" s="498" t="str">
        <f>IF($H$15="Imperial","Storage Volume (ft²)","Storage Volume (m²)")</f>
        <v>Storage Volume (ft²)</v>
      </c>
      <c r="CC107" s="123"/>
      <c r="CD107" s="123"/>
      <c r="CE107" s="520" t="s">
        <v>183</v>
      </c>
      <c r="CF107" s="520"/>
      <c r="CG107" s="520"/>
      <c r="CJ107" s="525" t="s">
        <v>153</v>
      </c>
      <c r="CK107" s="525"/>
      <c r="CL107" s="525"/>
      <c r="CM107" s="266">
        <f>(CB81*1728)/BZ77</f>
        <v>1121.793488372093</v>
      </c>
      <c r="CN107" s="16"/>
      <c r="CO107" s="105"/>
      <c r="CP107" s="498" t="s">
        <v>184</v>
      </c>
      <c r="CQ107" s="498" t="s">
        <v>99</v>
      </c>
      <c r="CR107" s="498" t="s">
        <v>185</v>
      </c>
      <c r="CS107" s="498" t="s">
        <v>186</v>
      </c>
      <c r="CT107" s="123"/>
      <c r="CU107" s="123"/>
      <c r="CV107" s="123"/>
      <c r="CW107" s="495"/>
      <c r="CX107" s="493"/>
      <c r="CY107" s="493"/>
      <c r="CZ107" s="493"/>
      <c r="DA107" s="105"/>
      <c r="DB107" s="1"/>
      <c r="DC107" s="5"/>
      <c r="DD107" s="5"/>
      <c r="DE107" s="5"/>
      <c r="DF107" s="5"/>
      <c r="DG107" s="5"/>
      <c r="DH107" s="5"/>
      <c r="DI107" s="5"/>
      <c r="DJ107" s="5"/>
      <c r="DK107" s="5"/>
      <c r="DL107" s="5"/>
    </row>
    <row r="108" spans="2:128" ht="15" customHeight="1" x14ac:dyDescent="0.25">
      <c r="B108" s="13"/>
      <c r="C108" s="13"/>
      <c r="D108" s="13"/>
      <c r="E108" s="22"/>
      <c r="F108" s="13"/>
      <c r="G108" s="13"/>
      <c r="AS108" s="7"/>
      <c r="AU108" s="7"/>
      <c r="AV108" s="7"/>
      <c r="BA108" s="27"/>
      <c r="BV108" s="519"/>
      <c r="BW108" s="519"/>
      <c r="BX108" s="498"/>
      <c r="BY108" s="498"/>
      <c r="BZ108" s="498"/>
      <c r="CA108" s="498"/>
      <c r="CB108" s="498"/>
      <c r="CC108" s="123"/>
      <c r="CD108" s="123"/>
      <c r="CE108" s="520"/>
      <c r="CF108" s="520"/>
      <c r="CG108" s="520"/>
      <c r="CJ108" s="276"/>
      <c r="CK108" s="276"/>
      <c r="CL108" s="276"/>
      <c r="CM108" s="141"/>
      <c r="CN108" s="16"/>
      <c r="CO108" s="105"/>
      <c r="CP108" s="498"/>
      <c r="CQ108" s="498"/>
      <c r="CR108" s="498"/>
      <c r="CS108" s="498"/>
      <c r="CT108" s="123"/>
      <c r="CU108" s="123"/>
      <c r="CV108" s="123"/>
      <c r="CW108" s="495"/>
      <c r="CX108" s="497"/>
      <c r="CY108" s="497"/>
      <c r="CZ108" s="497"/>
      <c r="DA108" s="105"/>
      <c r="DB108" s="1"/>
      <c r="DC108" s="5"/>
      <c r="DD108" s="5"/>
      <c r="DE108" s="5"/>
      <c r="DF108" s="5"/>
      <c r="DG108" s="5"/>
      <c r="DH108" s="5"/>
      <c r="DI108" s="5"/>
      <c r="DJ108" s="5"/>
      <c r="DK108" s="5"/>
      <c r="DL108" s="5"/>
    </row>
    <row r="109" spans="2:128" ht="15" customHeight="1" x14ac:dyDescent="0.25">
      <c r="C109" s="22"/>
      <c r="E109" s="13"/>
      <c r="AO109" s="291"/>
      <c r="AP109" s="291"/>
      <c r="AQ109" s="291"/>
      <c r="BV109" s="519"/>
      <c r="BW109" s="519"/>
      <c r="BX109" s="498"/>
      <c r="BY109" s="498"/>
      <c r="BZ109" s="498"/>
      <c r="CA109" s="498"/>
      <c r="CB109" s="498"/>
      <c r="CC109" s="123"/>
      <c r="CD109" s="123"/>
      <c r="CE109" s="520"/>
      <c r="CF109" s="520"/>
      <c r="CG109" s="520"/>
      <c r="CJ109" s="525" t="s">
        <v>156</v>
      </c>
      <c r="CK109" s="525"/>
      <c r="CL109" s="525"/>
      <c r="CM109" s="266">
        <f>(CF81*1728)/CD79</f>
        <v>1232.9513513513514</v>
      </c>
      <c r="CO109" s="105"/>
      <c r="CP109" s="498"/>
      <c r="CQ109" s="498"/>
      <c r="CR109" s="498"/>
      <c r="CS109" s="498"/>
      <c r="CT109" s="123"/>
      <c r="CU109" s="123"/>
      <c r="CV109" s="123"/>
      <c r="CW109" s="495"/>
      <c r="CX109" s="497"/>
      <c r="CY109" s="497"/>
      <c r="CZ109" s="497"/>
      <c r="DA109" s="105"/>
      <c r="DB109" s="1"/>
      <c r="DC109" s="5"/>
      <c r="DD109" s="5"/>
      <c r="DE109" s="5"/>
      <c r="DF109" s="5"/>
      <c r="DG109" s="5"/>
      <c r="DH109" s="5"/>
      <c r="DI109" s="5"/>
      <c r="DJ109" s="5"/>
      <c r="DK109" s="5"/>
      <c r="DL109" s="5"/>
    </row>
    <row r="110" spans="2:128" ht="15.75" customHeight="1" x14ac:dyDescent="0.25">
      <c r="AN110" s="66"/>
      <c r="BV110" s="519"/>
      <c r="BW110" s="519"/>
      <c r="BX110" s="493">
        <f>IF($H$15="Imperial",44,1117)</f>
        <v>44</v>
      </c>
      <c r="BY110" s="493">
        <f>IF($H$15="Imperial",47,1194)</f>
        <v>47</v>
      </c>
      <c r="BZ110" s="493">
        <f>IF($H$15="Imperial",36,914)</f>
        <v>36</v>
      </c>
      <c r="CA110" s="493">
        <f>IF($H$15="Imperial",36,914)</f>
        <v>36</v>
      </c>
      <c r="CB110" s="493">
        <f>IF($H$15="Imperial",16.92,0.48)</f>
        <v>16.920000000000002</v>
      </c>
      <c r="CC110" s="123"/>
      <c r="CD110" s="123"/>
      <c r="CE110" s="523" t="s">
        <v>187</v>
      </c>
      <c r="CF110" s="523" t="s">
        <v>70</v>
      </c>
      <c r="CG110" s="523" t="s">
        <v>188</v>
      </c>
      <c r="CJ110" s="525" t="s">
        <v>158</v>
      </c>
      <c r="CK110" s="525"/>
      <c r="CL110" s="525"/>
      <c r="CM110" s="272">
        <f>(CF81*1728)/CD77</f>
        <v>960.40421052631575</v>
      </c>
      <c r="CO110" s="111"/>
      <c r="CP110" s="493">
        <f>H47</f>
        <v>0</v>
      </c>
      <c r="CQ110" s="493">
        <f>IF(CP110=0,              CN92,             CN92-CP110)</f>
        <v>0</v>
      </c>
      <c r="CR110" s="493">
        <f>CU100-1</f>
        <v>0</v>
      </c>
      <c r="CS110" s="493">
        <f>IF(CR110&lt;=2,        0,         CR110-2)</f>
        <v>0</v>
      </c>
      <c r="CT110" s="123"/>
      <c r="CU110" s="123"/>
      <c r="CV110" s="123"/>
      <c r="CW110" s="495"/>
      <c r="CX110" s="497"/>
      <c r="CY110" s="497"/>
      <c r="CZ110" s="497"/>
      <c r="DA110" s="105"/>
      <c r="DB110" s="1"/>
      <c r="DC110" s="1"/>
      <c r="DD110" s="1"/>
      <c r="DE110" s="5"/>
      <c r="DF110" s="5"/>
      <c r="DG110" s="5"/>
      <c r="DH110" s="5"/>
      <c r="DI110" s="5"/>
      <c r="DJ110" s="5"/>
      <c r="DK110" s="5"/>
      <c r="DL110" s="5"/>
    </row>
    <row r="111" spans="2:128" ht="15" customHeight="1" x14ac:dyDescent="0.25">
      <c r="B111" s="13"/>
      <c r="C111" s="13"/>
      <c r="D111" s="13"/>
      <c r="E111" s="13"/>
      <c r="F111" s="13"/>
      <c r="G111" s="13"/>
      <c r="BV111" s="519"/>
      <c r="BW111" s="519"/>
      <c r="BX111" s="493"/>
      <c r="BY111" s="493"/>
      <c r="BZ111" s="493"/>
      <c r="CA111" s="493"/>
      <c r="CB111" s="493"/>
      <c r="CC111" s="132"/>
      <c r="CD111" s="132"/>
      <c r="CE111" s="523"/>
      <c r="CF111" s="523"/>
      <c r="CG111" s="523"/>
      <c r="CJ111" s="525" t="s">
        <v>161</v>
      </c>
      <c r="CK111" s="525"/>
      <c r="CL111" s="525"/>
      <c r="CM111" s="266">
        <f>(CG81*1728)/CE79</f>
        <v>1232.9513513513514</v>
      </c>
      <c r="CO111" s="105"/>
      <c r="CP111" s="493"/>
      <c r="CQ111" s="493"/>
      <c r="CR111" s="493"/>
      <c r="CS111" s="493"/>
      <c r="CT111" s="123"/>
      <c r="CU111" s="123"/>
      <c r="CV111" s="123"/>
      <c r="CW111" s="495"/>
      <c r="CX111" s="497"/>
      <c r="CY111" s="497"/>
      <c r="CZ111" s="497"/>
      <c r="DA111" s="105"/>
      <c r="DB111" s="1"/>
      <c r="DC111" s="1"/>
      <c r="DD111" s="1"/>
      <c r="DE111" s="5"/>
      <c r="DF111" s="5"/>
      <c r="DG111" s="5"/>
      <c r="DH111" s="5"/>
      <c r="DI111" s="5"/>
      <c r="DJ111" s="5"/>
      <c r="DK111" s="5"/>
      <c r="DL111" s="5"/>
    </row>
    <row r="112" spans="2:128" ht="15" customHeight="1" x14ac:dyDescent="0.25">
      <c r="BV112" s="133"/>
      <c r="BW112" s="134">
        <f>AU77*AU79*AU81</f>
        <v>686.59259259259261</v>
      </c>
      <c r="BX112" s="132"/>
      <c r="BY112" s="132"/>
      <c r="BZ112" s="132"/>
      <c r="CA112" s="132"/>
      <c r="CB112" s="132"/>
      <c r="CC112" s="132"/>
      <c r="CD112" s="132"/>
      <c r="CE112" s="497">
        <f>AU77</f>
        <v>15.333333333333334</v>
      </c>
      <c r="CF112" s="497">
        <f>AU79</f>
        <v>8.6666666666666661</v>
      </c>
      <c r="CG112" s="497">
        <f>IF(H15=1,                IF(H37=1,         (BX61+H29+H27)/12,            IF(H37=2,         (H29+BX75+H39+BX61+H27)/12,              (H29+BX89+H39+BX75+H39+BX61+H27)/12)),                                                                                       IF(H37=1,                                         (BX61+H29+H27)/1000,          IF(H37=2,         (H29+BX75+H39+BX61+H27)/1000,              (H29+BX89+H39+BX75+H39+BX61+H27)/1000)))</f>
        <v>6.2E-2</v>
      </c>
      <c r="CH112" s="2"/>
      <c r="CI112" s="2"/>
      <c r="CJ112" s="525" t="s">
        <v>162</v>
      </c>
      <c r="CK112" s="525"/>
      <c r="CL112" s="525"/>
      <c r="CM112" s="272">
        <f>(CG81*1728)/CE77</f>
        <v>1060.9116279069767</v>
      </c>
      <c r="CO112" s="291"/>
      <c r="CP112" s="497"/>
      <c r="CQ112" s="497"/>
      <c r="CR112" s="497"/>
      <c r="CS112" s="497"/>
      <c r="CT112" s="497"/>
      <c r="CU112" s="497"/>
      <c r="CV112" s="497"/>
      <c r="CW112" s="497"/>
      <c r="CX112" s="288"/>
      <c r="CY112" s="288"/>
      <c r="CZ112" s="288"/>
      <c r="DA112" s="105"/>
      <c r="DB112" s="1"/>
      <c r="DC112" s="1"/>
      <c r="DD112" s="1"/>
      <c r="DE112" s="5"/>
      <c r="DF112" s="5"/>
      <c r="DG112" s="5"/>
      <c r="DH112" s="5"/>
      <c r="DI112" s="5"/>
      <c r="DJ112" s="5"/>
      <c r="DK112" s="5"/>
      <c r="DL112" s="5"/>
    </row>
    <row r="113" spans="10:123" ht="15" customHeight="1" x14ac:dyDescent="0.25">
      <c r="AP113" s="482"/>
      <c r="AQ113" s="482"/>
      <c r="BV113" s="133"/>
      <c r="BW113" s="288"/>
      <c r="BX113" s="288"/>
      <c r="BY113" s="288"/>
      <c r="BZ113" s="288"/>
      <c r="CA113" s="288"/>
      <c r="CB113" s="288"/>
      <c r="CC113" s="132"/>
      <c r="CD113" s="132"/>
      <c r="CE113" s="497"/>
      <c r="CF113" s="497"/>
      <c r="CG113" s="497"/>
      <c r="CH113" s="2"/>
      <c r="CI113" s="2"/>
      <c r="CJ113" s="269"/>
      <c r="CK113" s="269"/>
      <c r="CL113" s="269"/>
      <c r="CM113" s="95"/>
      <c r="CO113" s="291"/>
      <c r="CP113" s="123"/>
      <c r="CQ113" s="123"/>
      <c r="CR113" s="288"/>
      <c r="CS113" s="288"/>
      <c r="CT113" s="132"/>
      <c r="CU113" s="127"/>
      <c r="CV113" s="127"/>
      <c r="CW113" s="127"/>
      <c r="CX113" s="288"/>
      <c r="CY113" s="288"/>
      <c r="CZ113" s="288"/>
      <c r="DA113" s="105"/>
      <c r="DB113" s="1"/>
      <c r="DC113" s="1"/>
      <c r="DD113" s="1"/>
      <c r="DE113" s="5"/>
      <c r="DF113" s="5"/>
      <c r="DG113" s="5"/>
      <c r="DH113" s="5"/>
      <c r="DI113" s="5"/>
      <c r="DJ113" s="5"/>
      <c r="DK113" s="5"/>
      <c r="DL113" s="5"/>
    </row>
    <row r="114" spans="10:123" ht="15" customHeight="1" x14ac:dyDescent="0.25">
      <c r="AL114" s="14"/>
      <c r="AR114" s="7"/>
      <c r="BV114" s="287"/>
      <c r="BW114" s="135"/>
      <c r="BX114" s="135"/>
      <c r="BY114" s="135"/>
      <c r="BZ114" s="135"/>
      <c r="CA114" s="135"/>
      <c r="CB114" s="135">
        <f>CD122-CD120</f>
        <v>-35.392129629629665</v>
      </c>
      <c r="CC114" s="135"/>
      <c r="CD114" s="135"/>
      <c r="CE114" s="135"/>
      <c r="CF114" s="135"/>
      <c r="CG114" s="135"/>
      <c r="CH114" s="3"/>
      <c r="CI114" s="3"/>
      <c r="CJ114" s="269"/>
      <c r="CK114" s="269"/>
      <c r="CL114" s="269"/>
      <c r="CM114" s="95"/>
      <c r="CO114" s="291"/>
      <c r="CP114" s="123"/>
      <c r="CQ114" s="123"/>
      <c r="CR114" s="132" t="s">
        <v>189</v>
      </c>
      <c r="CS114" s="266">
        <f>H47</f>
        <v>0</v>
      </c>
      <c r="CT114" s="132"/>
      <c r="CU114" s="127"/>
      <c r="CV114" s="127"/>
      <c r="CW114" s="496"/>
      <c r="CX114" s="496"/>
      <c r="CY114" s="288"/>
      <c r="CZ114" s="288"/>
      <c r="DA114" s="105"/>
      <c r="DB114" s="1"/>
      <c r="DC114" s="1"/>
      <c r="DD114" s="1"/>
      <c r="DE114" s="5"/>
      <c r="DF114" s="5"/>
      <c r="DG114" s="5"/>
      <c r="DH114" s="5"/>
      <c r="DI114" s="5"/>
      <c r="DJ114" s="5"/>
      <c r="DK114" s="5"/>
      <c r="DL114" s="5"/>
    </row>
    <row r="115" spans="10:123" ht="14.25" customHeight="1" x14ac:dyDescent="0.25">
      <c r="AL115" s="14"/>
      <c r="BV115" s="135"/>
      <c r="BW115" s="288"/>
      <c r="BX115" s="288"/>
      <c r="BY115" s="288"/>
      <c r="BZ115" s="288"/>
      <c r="CA115" s="288"/>
      <c r="CB115" s="288"/>
      <c r="CC115" s="288"/>
      <c r="CD115" s="288"/>
      <c r="CE115" s="520" t="s">
        <v>129</v>
      </c>
      <c r="CF115" s="520"/>
      <c r="CG115" s="520"/>
      <c r="CH115" s="5"/>
      <c r="CI115" s="5"/>
      <c r="CJ115" s="269"/>
      <c r="CK115" s="269"/>
      <c r="CL115" s="269"/>
      <c r="CM115" s="95"/>
      <c r="CO115" s="7"/>
      <c r="CP115" s="123"/>
      <c r="CQ115" s="123"/>
      <c r="CR115" s="152" t="s">
        <v>141</v>
      </c>
      <c r="CS115" s="263">
        <f>IF((CQ94*CU100)&lt;=CS114,           0,                CQ94)</f>
        <v>0</v>
      </c>
      <c r="CT115" s="122" t="s">
        <v>142</v>
      </c>
      <c r="CU115" s="288"/>
      <c r="CV115" s="288"/>
      <c r="CW115" s="497"/>
      <c r="CX115" s="497"/>
      <c r="CY115" s="158"/>
      <c r="CZ115" s="158"/>
      <c r="DA115" s="105"/>
      <c r="DB115" s="1"/>
      <c r="DC115" s="1"/>
      <c r="DD115" s="1"/>
      <c r="DE115" s="5"/>
      <c r="DF115" s="1"/>
      <c r="DG115" s="1"/>
      <c r="DH115" s="1"/>
      <c r="DI115" s="1"/>
      <c r="DJ115" s="1"/>
      <c r="DK115" s="1"/>
      <c r="DL115" s="5"/>
      <c r="DM115" s="5"/>
      <c r="DN115" s="5"/>
      <c r="DO115" s="5"/>
      <c r="DP115" s="5"/>
      <c r="DQ115" s="5"/>
      <c r="DR115" s="5"/>
      <c r="DS115" s="5"/>
    </row>
    <row r="116" spans="10:123" ht="15" customHeight="1" x14ac:dyDescent="0.25">
      <c r="AL116" s="14"/>
      <c r="BV116" s="288"/>
      <c r="BW116" s="288"/>
      <c r="BX116" s="288">
        <f>CE112*CF112*CG112</f>
        <v>8.2391111111111108</v>
      </c>
      <c r="BY116" s="288">
        <f>BX116-CE120-CF120</f>
        <v>-177.86088888888889</v>
      </c>
      <c r="BZ116" s="288"/>
      <c r="CA116" s="288"/>
      <c r="CB116" s="288"/>
      <c r="CC116" s="288"/>
      <c r="CD116" s="288"/>
      <c r="CE116" s="520"/>
      <c r="CF116" s="520"/>
      <c r="CG116" s="520"/>
      <c r="CH116" s="5"/>
      <c r="CI116" s="5"/>
      <c r="CJ116" s="269"/>
      <c r="CK116" s="269"/>
      <c r="CL116" s="269"/>
      <c r="CM116" s="95"/>
      <c r="CO116" s="16"/>
      <c r="CP116" s="288"/>
      <c r="CQ116" s="288"/>
      <c r="CR116" s="152" t="s">
        <v>178</v>
      </c>
      <c r="CS116" s="263">
        <f>IF(H37=1,          0,        IF((CQ94*CU100)&lt;=CS114,           0,              IF(CS115&lt;=CS114,              CQ94,         CS115-CS114)))</f>
        <v>0</v>
      </c>
      <c r="CT116" s="122" t="s">
        <v>150</v>
      </c>
      <c r="CU116" s="288"/>
      <c r="CV116" s="288"/>
      <c r="CW116" s="523"/>
      <c r="CX116" s="523"/>
      <c r="CY116" s="158"/>
      <c r="CZ116" s="158"/>
      <c r="DA116" s="105"/>
      <c r="DB116" s="1"/>
      <c r="DC116" s="1"/>
      <c r="DD116" s="1"/>
      <c r="DE116" s="5"/>
      <c r="DF116" s="319"/>
      <c r="DG116" s="319"/>
      <c r="DH116" s="319"/>
      <c r="DI116" s="319"/>
      <c r="DJ116" s="319"/>
      <c r="DK116" s="319"/>
    </row>
    <row r="117" spans="10:123" ht="15" customHeight="1" x14ac:dyDescent="0.25">
      <c r="J117" s="11"/>
      <c r="AL117" s="14"/>
      <c r="BV117" s="288"/>
      <c r="BW117" s="288"/>
      <c r="BX117" s="288"/>
      <c r="BY117" s="288"/>
      <c r="BZ117" s="288"/>
      <c r="CA117" s="288"/>
      <c r="CB117" s="288"/>
      <c r="CC117" s="288"/>
      <c r="CD117" s="288"/>
      <c r="CE117" s="273" t="s">
        <v>190</v>
      </c>
      <c r="CF117" s="273" t="s">
        <v>191</v>
      </c>
      <c r="CG117" s="288"/>
      <c r="CH117" s="16"/>
      <c r="CI117" s="9"/>
      <c r="CJ117" s="269"/>
      <c r="CK117" s="269"/>
      <c r="CL117" s="269"/>
      <c r="CM117" s="95"/>
      <c r="CO117" s="16"/>
      <c r="CP117" s="288"/>
      <c r="CQ117" s="288"/>
      <c r="CR117" s="152" t="s">
        <v>192</v>
      </c>
      <c r="CS117" s="263">
        <f>CS115-CS116</f>
        <v>0</v>
      </c>
      <c r="CT117" s="288"/>
      <c r="CU117" s="288"/>
      <c r="CV117" s="288"/>
      <c r="CW117" s="538"/>
      <c r="CX117" s="538"/>
      <c r="CY117" s="158"/>
      <c r="CZ117" s="158"/>
      <c r="DA117" s="105"/>
      <c r="DB117" s="5"/>
      <c r="DC117" s="1"/>
      <c r="DD117" s="1"/>
      <c r="DE117" s="5"/>
      <c r="DF117" s="286"/>
      <c r="DG117" s="286"/>
      <c r="DH117" s="286"/>
      <c r="DI117" s="319"/>
      <c r="DJ117" s="319"/>
      <c r="DK117" s="319"/>
    </row>
    <row r="118" spans="10:123" ht="15" customHeight="1" x14ac:dyDescent="0.25">
      <c r="O118" s="92"/>
      <c r="P118" s="92"/>
      <c r="Q118" s="92"/>
      <c r="R118" s="92"/>
      <c r="S118" s="92"/>
      <c r="T118" s="92"/>
      <c r="U118" s="92"/>
      <c r="V118" s="92"/>
      <c r="W118" s="92"/>
      <c r="X118" s="92"/>
      <c r="Y118" s="92"/>
      <c r="Z118" s="92"/>
      <c r="AA118" s="92"/>
      <c r="AB118" s="92"/>
      <c r="AC118" s="92"/>
      <c r="AD118" s="92"/>
      <c r="AE118" s="92"/>
      <c r="AF118" s="92"/>
      <c r="AG118" s="92"/>
      <c r="AH118" s="92"/>
      <c r="AI118" s="92"/>
      <c r="AL118" s="14"/>
      <c r="AR118" s="13"/>
      <c r="AS118" s="13"/>
      <c r="AT118" s="13"/>
      <c r="AU118" s="13"/>
      <c r="AV118" s="13"/>
      <c r="AW118" s="13"/>
      <c r="AX118" s="13"/>
      <c r="AY118" s="13"/>
      <c r="AZ118" s="13"/>
      <c r="BV118" s="288"/>
      <c r="BW118" s="288"/>
      <c r="BX118" s="288"/>
      <c r="BY118" s="288"/>
      <c r="BZ118" s="288"/>
      <c r="CA118" s="288"/>
      <c r="CB118" s="288"/>
      <c r="CC118" s="288"/>
      <c r="CD118" s="288"/>
      <c r="CE118" s="263"/>
      <c r="CF118" s="263"/>
      <c r="CG118" s="288"/>
      <c r="CH118" s="16"/>
      <c r="CI118" s="9"/>
      <c r="CJ118" s="269"/>
      <c r="CK118" s="269"/>
      <c r="CL118" s="269"/>
      <c r="CM118" s="95"/>
      <c r="CO118" s="291"/>
      <c r="CP118" s="135"/>
      <c r="CQ118" s="135"/>
      <c r="CR118" s="152" t="s">
        <v>155</v>
      </c>
      <c r="CS118" s="263">
        <f>IF(CS115=0,          0,         CS119-1)</f>
        <v>0</v>
      </c>
      <c r="CT118" s="122"/>
      <c r="CU118" s="122"/>
      <c r="CV118" s="128"/>
      <c r="CW118" s="539"/>
      <c r="CX118" s="539"/>
      <c r="CY118" s="158"/>
      <c r="CZ118" s="158"/>
      <c r="DA118" s="105"/>
      <c r="DB118" s="5"/>
      <c r="DC118" s="1"/>
      <c r="DD118" s="1"/>
      <c r="DE118" s="5"/>
      <c r="DF118" s="286"/>
      <c r="DG118" s="286"/>
      <c r="DH118" s="286"/>
      <c r="DI118" s="319"/>
      <c r="DJ118" s="319"/>
      <c r="DK118" s="319"/>
    </row>
    <row r="119" spans="10:123" ht="15" customHeight="1" x14ac:dyDescent="0.25">
      <c r="M119" s="92"/>
      <c r="N119" s="92"/>
      <c r="O119" s="92"/>
      <c r="P119" s="92"/>
      <c r="Q119" s="92"/>
      <c r="R119" s="92"/>
      <c r="S119" s="92"/>
      <c r="T119" s="92"/>
      <c r="U119" s="92"/>
      <c r="V119" s="92"/>
      <c r="W119" s="92"/>
      <c r="X119" s="92"/>
      <c r="Y119" s="92"/>
      <c r="Z119" s="92"/>
      <c r="AA119" s="92"/>
      <c r="AB119" s="92"/>
      <c r="AC119" s="92"/>
      <c r="AD119" s="92"/>
      <c r="AE119" s="92"/>
      <c r="AF119" s="92"/>
      <c r="AG119" s="92"/>
      <c r="AH119" s="92"/>
      <c r="AI119" s="92"/>
      <c r="AJ119" s="92"/>
      <c r="AK119" s="92"/>
      <c r="AL119" s="14"/>
      <c r="AR119" s="13"/>
      <c r="AS119" s="13"/>
      <c r="AT119" s="13"/>
      <c r="AU119" s="13"/>
      <c r="AV119" s="13"/>
      <c r="AW119" s="13"/>
      <c r="AX119" s="13"/>
      <c r="AY119" s="13"/>
      <c r="AZ119" s="13"/>
      <c r="BV119" s="288"/>
      <c r="BW119" s="288"/>
      <c r="BX119" s="288">
        <f>7713/9</f>
        <v>857</v>
      </c>
      <c r="BY119" s="288"/>
      <c r="BZ119" s="288"/>
      <c r="CA119" s="288"/>
      <c r="CB119" s="288"/>
      <c r="CC119" s="288"/>
      <c r="CD119" s="136" t="s">
        <v>193</v>
      </c>
      <c r="CE119" s="263">
        <f>CK13+CK21+CK79+CK85+CK134+CK142</f>
        <v>2</v>
      </c>
      <c r="CF119" s="263">
        <f>CK17+CK25+CK29+CK82+CK88+CK138+CK146</f>
        <v>0</v>
      </c>
      <c r="CG119" s="288"/>
      <c r="CH119" s="16"/>
      <c r="CI119" s="9"/>
      <c r="CJ119" s="269"/>
      <c r="CK119" s="269"/>
      <c r="CL119" s="269"/>
      <c r="CM119" s="95"/>
      <c r="CO119" s="7"/>
      <c r="CP119" s="135"/>
      <c r="CQ119" s="135"/>
      <c r="CR119" s="152" t="s">
        <v>157</v>
      </c>
      <c r="CS119" s="263">
        <f>IF(CS115=0,       0,      IF(CS115=CS114,           CU100-1,          CU100))</f>
        <v>0</v>
      </c>
      <c r="CT119" s="122"/>
      <c r="CU119" s="122"/>
      <c r="CV119" s="128"/>
      <c r="CW119" s="538"/>
      <c r="CX119" s="538"/>
      <c r="CY119" s="158"/>
      <c r="CZ119" s="158"/>
      <c r="DA119" s="105"/>
      <c r="DB119" s="1"/>
      <c r="DC119" s="1"/>
      <c r="DD119" s="1"/>
      <c r="DE119" s="5"/>
    </row>
    <row r="120" spans="10:123" ht="15.75" customHeight="1" x14ac:dyDescent="0.25">
      <c r="M120" s="92"/>
      <c r="N120" s="92"/>
      <c r="O120" s="93"/>
      <c r="P120" s="93"/>
      <c r="Q120" s="93"/>
      <c r="R120" s="93"/>
      <c r="S120" s="93"/>
      <c r="T120" s="93"/>
      <c r="U120" s="93"/>
      <c r="V120" s="93"/>
      <c r="W120" s="93"/>
      <c r="X120" s="93"/>
      <c r="Y120" s="93"/>
      <c r="Z120" s="93"/>
      <c r="AA120" s="93"/>
      <c r="AB120" s="93"/>
      <c r="AC120" s="93"/>
      <c r="AD120" s="93"/>
      <c r="AE120" s="93"/>
      <c r="AF120" s="93"/>
      <c r="AG120" s="93"/>
      <c r="AH120" s="93"/>
      <c r="AI120" s="93"/>
      <c r="AJ120" s="92"/>
      <c r="AK120" s="92"/>
      <c r="AL120" s="14"/>
      <c r="AR120" s="13"/>
      <c r="AS120" s="13"/>
      <c r="AT120" s="13"/>
      <c r="AU120" s="13"/>
      <c r="AV120" s="13"/>
      <c r="AW120" s="13"/>
      <c r="AX120" s="13"/>
      <c r="AY120" s="13"/>
      <c r="AZ120" s="13"/>
      <c r="BA120" s="13"/>
      <c r="BV120" s="288"/>
      <c r="BW120" s="288" t="s">
        <v>194</v>
      </c>
      <c r="BX120" s="288">
        <f>IF(H15="Imperial", IF(H19="SC-44",        9,       6),          IF(H19="SC-44",         225,      150))</f>
        <v>9</v>
      </c>
      <c r="BY120" s="288"/>
      <c r="BZ120" s="288">
        <f>((BY61*BY63*(18+6))/1728)*0.4</f>
        <v>32.722222222222221</v>
      </c>
      <c r="CA120" s="288">
        <f>((BY61*(6+18-4.5)*(BX65+6))/1728)*0.4</f>
        <v>24.068055555555556</v>
      </c>
      <c r="CB120" s="288">
        <f>((BY61*18*(18-4.5))/1728)*0.4</f>
        <v>3.4875000000000003</v>
      </c>
      <c r="CC120" s="288">
        <f>BZ120+CA120+(2*CB120)</f>
        <v>63.765277777777776</v>
      </c>
      <c r="CD120" s="288">
        <f>CA67+CC120</f>
        <v>245.03046296296299</v>
      </c>
      <c r="CE120" s="263">
        <f>CE119*BX67</f>
        <v>186.1</v>
      </c>
      <c r="CF120" s="263">
        <f>CF119*CC67</f>
        <v>0</v>
      </c>
      <c r="CG120" s="288"/>
      <c r="CH120" s="16"/>
      <c r="CI120" s="9"/>
      <c r="CJ120" s="269"/>
      <c r="CK120" s="269"/>
      <c r="CL120" s="269"/>
      <c r="CM120" s="95"/>
      <c r="CP120" s="135"/>
      <c r="CQ120" s="135"/>
      <c r="CR120" s="123"/>
      <c r="CS120" s="123"/>
      <c r="CT120" s="123"/>
      <c r="CU120" s="123"/>
      <c r="CV120" s="128"/>
      <c r="CW120" s="135"/>
      <c r="CX120" s="158"/>
      <c r="CY120" s="158"/>
      <c r="CZ120" s="158"/>
      <c r="DA120" s="105"/>
      <c r="DB120" s="1"/>
      <c r="DC120" s="1"/>
      <c r="DD120" s="1"/>
    </row>
    <row r="121" spans="10:123" ht="15" customHeight="1" x14ac:dyDescent="0.25">
      <c r="M121" s="93"/>
      <c r="N121" s="93"/>
      <c r="O121" s="92"/>
      <c r="P121" s="92"/>
      <c r="Q121" s="92"/>
      <c r="R121" s="92"/>
      <c r="S121" s="92"/>
      <c r="T121" s="92"/>
      <c r="U121" s="92"/>
      <c r="V121" s="92"/>
      <c r="W121" s="92"/>
      <c r="X121" s="92"/>
      <c r="Y121" s="92"/>
      <c r="Z121" s="92"/>
      <c r="AA121" s="92"/>
      <c r="AB121" s="92"/>
      <c r="AC121" s="92"/>
      <c r="AD121" s="92"/>
      <c r="AE121" s="92"/>
      <c r="AF121" s="92"/>
      <c r="AG121" s="92"/>
      <c r="AH121" s="92"/>
      <c r="AI121" s="92"/>
      <c r="AJ121" s="93"/>
      <c r="AK121" s="93"/>
      <c r="AL121" s="14"/>
      <c r="BA121" s="13"/>
      <c r="BV121" s="288"/>
      <c r="BW121" s="288"/>
      <c r="BX121" s="288"/>
      <c r="BY121" s="288"/>
      <c r="BZ121" s="288"/>
      <c r="CA121" s="288"/>
      <c r="CB121" s="288"/>
      <c r="CC121" s="288"/>
      <c r="CD121" s="288"/>
      <c r="CE121" s="288"/>
      <c r="CF121" s="288"/>
      <c r="CG121" s="288"/>
      <c r="CH121" s="16"/>
      <c r="CI121" s="9"/>
      <c r="CJ121" s="269"/>
      <c r="CK121" s="269"/>
      <c r="CL121" s="269"/>
      <c r="CM121" s="95"/>
      <c r="CP121" s="288"/>
      <c r="CQ121" s="288"/>
      <c r="CR121" s="530" t="s">
        <v>195</v>
      </c>
      <c r="CS121" s="497" t="str">
        <f>IF(CS115&gt;15, "yes",  "no")</f>
        <v>no</v>
      </c>
      <c r="CT121" s="537" t="s">
        <v>196</v>
      </c>
      <c r="CU121" s="537"/>
      <c r="CV121" s="288" t="s">
        <v>197</v>
      </c>
      <c r="CW121" s="135"/>
      <c r="CX121" s="158"/>
      <c r="CY121" s="158"/>
      <c r="CZ121" s="158"/>
      <c r="DA121" s="105"/>
      <c r="DB121" s="10"/>
      <c r="DC121" s="5"/>
      <c r="DD121" s="5"/>
      <c r="DE121" s="320"/>
    </row>
    <row r="122" spans="10:123" ht="15.75" customHeight="1" x14ac:dyDescent="0.25">
      <c r="M122" s="92"/>
      <c r="N122" s="92"/>
      <c r="O122" s="93"/>
      <c r="P122" s="93"/>
      <c r="Q122" s="93"/>
      <c r="R122" s="93"/>
      <c r="S122" s="93"/>
      <c r="T122" s="93"/>
      <c r="U122" s="93"/>
      <c r="V122" s="93"/>
      <c r="W122" s="93"/>
      <c r="X122" s="93"/>
      <c r="Y122" s="93"/>
      <c r="Z122" s="93"/>
      <c r="AA122" s="93"/>
      <c r="AB122" s="93"/>
      <c r="AC122" s="93"/>
      <c r="AD122" s="93"/>
      <c r="AE122" s="93"/>
      <c r="AF122" s="93"/>
      <c r="AG122" s="93"/>
      <c r="AH122" s="93"/>
      <c r="AI122" s="93"/>
      <c r="AJ122" s="92"/>
      <c r="AK122" s="92"/>
      <c r="AL122" s="14"/>
      <c r="BA122" s="13"/>
      <c r="BV122" s="288"/>
      <c r="BW122" s="288"/>
      <c r="BX122" s="288"/>
      <c r="BY122" s="288"/>
      <c r="BZ122" s="288">
        <f>((BY61*BY63*18)/1728)*0.4</f>
        <v>24.541666666666668</v>
      </c>
      <c r="CA122" s="288">
        <f>((BY61*(18-4.5)*BX65)/1728)*0.4</f>
        <v>15.5</v>
      </c>
      <c r="CB122" s="288">
        <f>((BY61*18*(18-4.5))/1728)*0.4</f>
        <v>3.4875000000000003</v>
      </c>
      <c r="CC122" s="288">
        <f>2*(BZ122+CA122+CB122)</f>
        <v>87.058333333333337</v>
      </c>
      <c r="CD122" s="288">
        <f>122.58+CC122</f>
        <v>209.63833333333332</v>
      </c>
      <c r="CE122" s="288"/>
      <c r="CF122" s="288"/>
      <c r="CG122" s="288"/>
      <c r="CH122" s="16"/>
      <c r="CI122" s="9"/>
      <c r="CJ122" s="269"/>
      <c r="CK122" s="269"/>
      <c r="CL122" s="269"/>
      <c r="CM122" s="95"/>
      <c r="CP122" s="288"/>
      <c r="CQ122" s="288"/>
      <c r="CR122" s="530"/>
      <c r="CS122" s="497"/>
      <c r="CT122" s="537"/>
      <c r="CU122" s="537"/>
      <c r="CV122" s="263">
        <f>IF(CS123="yes",         1,      IF(CS121="yes",       3,       2))</f>
        <v>1</v>
      </c>
      <c r="CW122" s="135"/>
      <c r="CX122" s="158"/>
      <c r="CY122" s="158"/>
      <c r="CZ122" s="158"/>
      <c r="DA122" s="105"/>
      <c r="DB122" s="319"/>
      <c r="DC122" s="5"/>
      <c r="DD122" s="5"/>
      <c r="DE122" s="320"/>
    </row>
    <row r="123" spans="10:123" ht="15" customHeight="1" x14ac:dyDescent="0.25">
      <c r="M123" s="93"/>
      <c r="N123" s="93"/>
      <c r="O123" s="92"/>
      <c r="P123" s="92"/>
      <c r="Q123" s="92"/>
      <c r="R123" s="92"/>
      <c r="S123" s="92"/>
      <c r="T123" s="92"/>
      <c r="U123" s="92"/>
      <c r="V123" s="92"/>
      <c r="W123" s="92"/>
      <c r="X123" s="92"/>
      <c r="Y123" s="92"/>
      <c r="Z123" s="92"/>
      <c r="AA123" s="92"/>
      <c r="AB123" s="92"/>
      <c r="AC123" s="92"/>
      <c r="AD123" s="92"/>
      <c r="AE123" s="92"/>
      <c r="AF123" s="92"/>
      <c r="AG123" s="92"/>
      <c r="AH123" s="92"/>
      <c r="AI123" s="92"/>
      <c r="AJ123" s="93"/>
      <c r="AK123" s="93"/>
      <c r="AL123" s="14"/>
      <c r="BV123" s="288"/>
      <c r="BW123" s="288"/>
      <c r="BX123" s="288"/>
      <c r="BY123" s="288"/>
      <c r="BZ123" s="288"/>
      <c r="CH123" s="5"/>
      <c r="CI123" s="9"/>
      <c r="CJ123" s="269"/>
      <c r="CK123" s="269"/>
      <c r="CL123" s="269"/>
      <c r="CM123" s="95"/>
      <c r="CO123" s="297"/>
      <c r="CP123" s="288"/>
      <c r="CQ123" s="288"/>
      <c r="CR123" s="152" t="s">
        <v>198</v>
      </c>
      <c r="CS123" s="263" t="str">
        <f>IF(CS115&lt;4,      "yes",        "no")</f>
        <v>yes</v>
      </c>
      <c r="CT123" s="122" t="s">
        <v>199</v>
      </c>
      <c r="CU123" s="122"/>
      <c r="CV123" s="127"/>
      <c r="CW123" s="135"/>
      <c r="CX123" s="158"/>
      <c r="CY123" s="158"/>
      <c r="CZ123" s="158"/>
      <c r="DA123" s="105"/>
      <c r="DB123" s="319"/>
      <c r="DC123" s="1"/>
      <c r="DD123" s="9"/>
      <c r="DE123" s="319"/>
    </row>
    <row r="124" spans="10:123" ht="14.25" customHeight="1" x14ac:dyDescent="0.25">
      <c r="M124" s="92"/>
      <c r="N124" s="92"/>
      <c r="O124" s="92"/>
      <c r="P124" s="92"/>
      <c r="Q124" s="92"/>
      <c r="R124" s="92"/>
      <c r="S124" s="92"/>
      <c r="T124" s="92"/>
      <c r="U124" s="92"/>
      <c r="V124" s="92"/>
      <c r="W124" s="92"/>
      <c r="X124" s="92"/>
      <c r="Y124" s="92"/>
      <c r="Z124" s="92"/>
      <c r="AA124" s="92"/>
      <c r="AB124" s="92"/>
      <c r="AC124" s="92"/>
      <c r="AD124" s="92"/>
      <c r="AE124" s="92"/>
      <c r="AF124" s="92"/>
      <c r="AG124" s="92"/>
      <c r="AH124" s="92"/>
      <c r="AI124" s="92"/>
      <c r="AJ124" s="92"/>
      <c r="AK124" s="92"/>
      <c r="AL124" s="14"/>
      <c r="BV124" s="288"/>
      <c r="BW124" s="288" t="s">
        <v>200</v>
      </c>
      <c r="BX124" s="288">
        <f>IF(H15="Imperial",          IF(H19="SC-44",           12,         6),         IF(H19="SC-44",           300,         150))</f>
        <v>12</v>
      </c>
      <c r="BY124" s="288"/>
      <c r="BZ124" s="288"/>
      <c r="CH124" s="5"/>
      <c r="CI124" s="9"/>
      <c r="CJ124" s="269"/>
      <c r="CK124" s="269"/>
      <c r="CL124" s="269"/>
      <c r="CM124" s="95"/>
      <c r="CO124" s="297"/>
      <c r="CU124" s="103"/>
      <c r="CV124" s="7"/>
      <c r="CW124" s="18"/>
      <c r="CX124" s="2"/>
      <c r="CY124" s="2"/>
      <c r="CZ124" s="2"/>
      <c r="DA124" s="105"/>
      <c r="DB124" s="319"/>
      <c r="DC124" s="1"/>
      <c r="DD124" s="9"/>
      <c r="DE124" s="319"/>
    </row>
    <row r="125" spans="10:123" ht="15" customHeight="1" x14ac:dyDescent="0.25">
      <c r="M125" s="92"/>
      <c r="N125" s="92"/>
      <c r="O125" s="92"/>
      <c r="P125" s="92"/>
      <c r="Q125" s="92"/>
      <c r="R125" s="92"/>
      <c r="S125" s="92"/>
      <c r="T125" s="92"/>
      <c r="U125" s="92"/>
      <c r="V125" s="92"/>
      <c r="W125" s="92"/>
      <c r="X125" s="92"/>
      <c r="Y125" s="92"/>
      <c r="Z125" s="92"/>
      <c r="AA125" s="92"/>
      <c r="AB125" s="92"/>
      <c r="AC125" s="92"/>
      <c r="AD125" s="92"/>
      <c r="AE125" s="92"/>
      <c r="AF125" s="92"/>
      <c r="AG125" s="92"/>
      <c r="AH125" s="92"/>
      <c r="AI125" s="92"/>
      <c r="AJ125" s="92"/>
      <c r="AK125" s="92"/>
      <c r="AL125" s="14"/>
      <c r="BV125" s="288"/>
      <c r="BW125" s="288" t="s">
        <v>201</v>
      </c>
      <c r="BX125" s="288">
        <f>IF(H15="Imperial",       IF(H19="SC-44",       96,       192),    IF(H19="SC-44",     2435,     4875))</f>
        <v>96</v>
      </c>
      <c r="BY125" s="288"/>
      <c r="BZ125" s="288"/>
      <c r="CH125" s="6"/>
      <c r="CI125" s="9"/>
      <c r="CJ125" s="269"/>
      <c r="CK125" s="269"/>
      <c r="CL125" s="269"/>
      <c r="CM125" s="95"/>
      <c r="CO125" s="297"/>
      <c r="CT125" s="103"/>
      <c r="CU125" s="103"/>
      <c r="CV125" s="7"/>
      <c r="CW125" s="18"/>
      <c r="CX125" s="2"/>
      <c r="CY125" s="2"/>
      <c r="CZ125" s="2"/>
      <c r="DA125" s="105"/>
      <c r="DB125" s="319"/>
      <c r="DC125" s="319"/>
      <c r="DD125" s="319"/>
      <c r="DE125" s="319"/>
    </row>
    <row r="126" spans="10:123" ht="15" customHeight="1" x14ac:dyDescent="0.25">
      <c r="M126" s="92"/>
      <c r="N126" s="92"/>
      <c r="O126" s="92"/>
      <c r="P126" s="92"/>
      <c r="Q126" s="92"/>
      <c r="R126" s="92"/>
      <c r="S126" s="92"/>
      <c r="T126" s="92"/>
      <c r="U126" s="92"/>
      <c r="V126" s="92"/>
      <c r="W126" s="92"/>
      <c r="X126" s="92"/>
      <c r="Y126" s="92"/>
      <c r="Z126" s="92"/>
      <c r="AA126" s="92"/>
      <c r="AB126" s="92"/>
      <c r="AC126" s="92"/>
      <c r="AD126" s="92"/>
      <c r="AE126" s="92"/>
      <c r="AF126" s="92"/>
      <c r="AG126" s="92"/>
      <c r="AH126" s="92"/>
      <c r="AI126" s="92"/>
      <c r="AJ126" s="92"/>
      <c r="AK126" s="92"/>
      <c r="AL126" s="14"/>
      <c r="BV126" s="288"/>
      <c r="BW126" s="288"/>
      <c r="BX126" s="288"/>
      <c r="BY126" s="288"/>
      <c r="BZ126" s="288"/>
      <c r="CH126" s="6"/>
      <c r="CI126" s="9"/>
      <c r="CJ126" s="269"/>
      <c r="CK126" s="269"/>
      <c r="CL126" s="269"/>
      <c r="CM126" s="95"/>
      <c r="CO126" s="297"/>
      <c r="CP126" s="12"/>
      <c r="CQ126" s="12"/>
      <c r="CU126" s="103"/>
      <c r="CV126" s="7"/>
      <c r="CW126" s="18"/>
      <c r="CX126" s="2"/>
      <c r="CY126" s="2"/>
      <c r="CZ126" s="2"/>
      <c r="DA126" s="105"/>
      <c r="DB126" s="1"/>
      <c r="DC126" s="319"/>
      <c r="DD126" s="319"/>
      <c r="DE126" s="319"/>
    </row>
    <row r="127" spans="10:123" ht="15" customHeight="1" x14ac:dyDescent="0.25">
      <c r="M127" s="92"/>
      <c r="N127" s="92"/>
      <c r="O127" s="92"/>
      <c r="P127" s="92"/>
      <c r="Q127" s="92"/>
      <c r="R127" s="92"/>
      <c r="S127" s="92"/>
      <c r="T127" s="92"/>
      <c r="U127" s="92"/>
      <c r="V127" s="92"/>
      <c r="W127" s="92"/>
      <c r="X127" s="92"/>
      <c r="Y127" s="92"/>
      <c r="Z127" s="92"/>
      <c r="AA127" s="92"/>
      <c r="AB127" s="92"/>
      <c r="AC127" s="92"/>
      <c r="AD127" s="92"/>
      <c r="AE127" s="92"/>
      <c r="AF127" s="92"/>
      <c r="AG127" s="92"/>
      <c r="AH127" s="92"/>
      <c r="AI127" s="92"/>
      <c r="AJ127" s="92"/>
      <c r="AK127" s="92"/>
      <c r="AL127" s="14"/>
      <c r="BV127" s="288"/>
      <c r="BW127" s="288" t="s">
        <v>202</v>
      </c>
      <c r="BX127" s="288">
        <f>IF(H15="Imperial",         IF(H19="SC-44",       22,       18),            IF(H19="SC-44",        550,         450))</f>
        <v>22</v>
      </c>
      <c r="BY127" s="288"/>
      <c r="BZ127" s="288"/>
      <c r="CH127" s="6"/>
      <c r="CI127" s="9"/>
      <c r="CJ127" s="269"/>
      <c r="CK127" s="269"/>
      <c r="CL127" s="269"/>
      <c r="CM127" s="95"/>
      <c r="CO127" s="297"/>
      <c r="CR127" s="22"/>
      <c r="CS127" s="297"/>
      <c r="CT127" s="103"/>
      <c r="CU127" s="103"/>
      <c r="CV127" s="7"/>
      <c r="CW127" s="18"/>
      <c r="CX127" s="2"/>
      <c r="CY127" s="2"/>
      <c r="CZ127" s="2"/>
      <c r="DA127" s="105"/>
      <c r="DB127" s="1"/>
      <c r="DC127" s="319"/>
      <c r="DD127" s="319"/>
      <c r="DE127" s="319"/>
    </row>
    <row r="128" spans="10:123" ht="15.75" customHeight="1" x14ac:dyDescent="0.25">
      <c r="M128" s="92"/>
      <c r="N128" s="92"/>
      <c r="O128" s="92"/>
      <c r="P128" s="92"/>
      <c r="Q128" s="92"/>
      <c r="R128" s="92"/>
      <c r="S128" s="92"/>
      <c r="T128" s="92"/>
      <c r="U128" s="92"/>
      <c r="V128" s="92"/>
      <c r="W128" s="92"/>
      <c r="X128" s="92"/>
      <c r="Y128" s="92"/>
      <c r="Z128" s="92"/>
      <c r="AA128" s="92"/>
      <c r="AB128" s="92"/>
      <c r="AC128" s="92"/>
      <c r="AD128" s="92"/>
      <c r="AE128" s="92"/>
      <c r="AF128" s="92"/>
      <c r="AG128" s="92"/>
      <c r="AH128" s="92"/>
      <c r="AI128" s="92"/>
      <c r="AJ128" s="92"/>
      <c r="AK128" s="92"/>
      <c r="AL128" s="14"/>
      <c r="BV128" s="288"/>
      <c r="BW128" s="288"/>
      <c r="BX128" s="288"/>
      <c r="BY128" s="288"/>
      <c r="BZ128" s="288"/>
      <c r="CH128" s="6"/>
      <c r="CI128" s="9"/>
      <c r="CJ128" s="269"/>
      <c r="CK128" s="269"/>
      <c r="CL128" s="269"/>
      <c r="CM128" s="95"/>
      <c r="CO128" s="297"/>
      <c r="CV128" s="7"/>
      <c r="CW128" s="18"/>
      <c r="CX128" s="2"/>
      <c r="CY128" s="2"/>
      <c r="CZ128" s="2"/>
      <c r="DA128" s="105"/>
      <c r="DB128" s="1"/>
      <c r="DC128" s="319"/>
      <c r="DD128" s="319"/>
      <c r="DE128" s="319"/>
    </row>
    <row r="129" spans="2:109" ht="15" customHeight="1" x14ac:dyDescent="0.25">
      <c r="M129" s="92"/>
      <c r="N129" s="92"/>
      <c r="O129" s="92"/>
      <c r="P129" s="92"/>
      <c r="Q129" s="92"/>
      <c r="R129" s="92"/>
      <c r="S129" s="92"/>
      <c r="T129" s="92"/>
      <c r="U129" s="92"/>
      <c r="V129" s="92"/>
      <c r="W129" s="92"/>
      <c r="X129" s="92"/>
      <c r="Y129" s="92"/>
      <c r="Z129" s="92"/>
      <c r="AA129" s="92"/>
      <c r="AB129" s="92"/>
      <c r="AC129" s="92"/>
      <c r="AD129" s="92"/>
      <c r="AE129" s="92"/>
      <c r="AF129" s="92"/>
      <c r="AG129" s="92"/>
      <c r="AH129" s="92"/>
      <c r="AI129" s="92"/>
      <c r="AJ129" s="92"/>
      <c r="AK129" s="92"/>
      <c r="AL129" s="14"/>
      <c r="BV129" s="288"/>
      <c r="BW129" s="288" t="s">
        <v>203</v>
      </c>
      <c r="BX129" s="288">
        <f>IF(H15="Imperial",          IF(H19="SC-44",         96,           192),           IF(H19="SC-44",           2435,           4880))</f>
        <v>96</v>
      </c>
      <c r="BY129" s="288"/>
      <c r="BZ129" s="288"/>
      <c r="CH129" s="6"/>
      <c r="CI129" s="9"/>
      <c r="CJ129" s="9"/>
      <c r="CO129" s="297"/>
      <c r="CR129" s="22"/>
      <c r="CS129" s="297"/>
      <c r="CT129" s="103"/>
      <c r="CU129" s="103"/>
      <c r="CV129" s="7"/>
      <c r="CW129" s="18"/>
      <c r="CX129" s="2"/>
      <c r="CY129" s="2"/>
      <c r="CZ129" s="2"/>
      <c r="DA129" s="105"/>
      <c r="DB129" s="1"/>
      <c r="DC129" s="319"/>
      <c r="DD129" s="319"/>
      <c r="DE129" s="319"/>
    </row>
    <row r="130" spans="2:109" ht="15" customHeight="1" x14ac:dyDescent="0.25">
      <c r="M130" s="92"/>
      <c r="N130" s="92"/>
      <c r="O130" s="92"/>
      <c r="P130" s="92"/>
      <c r="Q130" s="92"/>
      <c r="R130" s="92"/>
      <c r="S130" s="92"/>
      <c r="T130" s="92"/>
      <c r="U130" s="92"/>
      <c r="V130" s="92"/>
      <c r="W130" s="92"/>
      <c r="X130" s="92"/>
      <c r="Y130" s="92"/>
      <c r="Z130" s="92"/>
      <c r="AA130" s="92"/>
      <c r="AB130" s="92"/>
      <c r="AC130" s="92"/>
      <c r="AD130" s="92"/>
      <c r="AE130" s="92"/>
      <c r="AF130" s="92"/>
      <c r="AG130" s="92"/>
      <c r="AH130" s="92"/>
      <c r="AI130" s="92"/>
      <c r="AJ130" s="92"/>
      <c r="AK130" s="92"/>
      <c r="BV130" s="288"/>
      <c r="BW130" s="288"/>
      <c r="BX130" s="288"/>
      <c r="BY130" s="288" t="s">
        <v>204</v>
      </c>
      <c r="BZ130" s="288">
        <f>IF(H15="Imperial",          12,          300)</f>
        <v>12</v>
      </c>
      <c r="CH130" s="6"/>
      <c r="CI130" s="9"/>
      <c r="CJ130" s="262" t="str">
        <f>IF($H$15="Imperial",                 "Imperial (inches and ft)",               "Metric (mm and meters)")</f>
        <v>Imperial (inches and ft)</v>
      </c>
      <c r="CK130" s="513" t="str">
        <f>IF($H$23=1,               "by system width",             "by system length")</f>
        <v>by system length</v>
      </c>
      <c r="CL130" s="513"/>
      <c r="CM130" s="513"/>
      <c r="CN130" s="513"/>
      <c r="CO130" s="297"/>
      <c r="CP130" s="512" t="s">
        <v>205</v>
      </c>
      <c r="CQ130" s="512"/>
      <c r="CR130" s="512"/>
      <c r="CS130" s="512"/>
      <c r="CT130" s="512"/>
      <c r="CU130" s="512"/>
      <c r="CV130" s="512"/>
      <c r="CW130" s="512"/>
      <c r="CX130" s="512"/>
      <c r="CY130" s="495"/>
      <c r="CZ130" s="495"/>
      <c r="DA130" s="105"/>
      <c r="DB130" s="319"/>
      <c r="DC130" s="319"/>
      <c r="DD130" s="319"/>
      <c r="DE130" s="319"/>
    </row>
    <row r="131" spans="2:109" ht="15" customHeight="1" x14ac:dyDescent="0.25">
      <c r="B131" s="92"/>
      <c r="C131" s="92"/>
      <c r="D131" s="92"/>
      <c r="E131" s="92"/>
      <c r="F131" s="92"/>
      <c r="G131" s="92"/>
      <c r="H131" s="321"/>
      <c r="I131" s="321"/>
      <c r="J131" s="92"/>
      <c r="K131" s="92"/>
      <c r="L131" s="92"/>
      <c r="M131" s="92"/>
      <c r="N131" s="92"/>
      <c r="O131" s="92"/>
      <c r="P131" s="92"/>
      <c r="Q131" s="92"/>
      <c r="R131" s="92"/>
      <c r="S131" s="92"/>
      <c r="T131" s="92"/>
      <c r="U131" s="92"/>
      <c r="V131" s="92"/>
      <c r="W131" s="92"/>
      <c r="X131" s="92"/>
      <c r="Y131" s="92"/>
      <c r="Z131" s="92"/>
      <c r="AA131" s="92"/>
      <c r="AB131" s="92"/>
      <c r="AC131" s="92"/>
      <c r="AD131" s="92"/>
      <c r="AE131" s="92"/>
      <c r="AF131" s="92"/>
      <c r="AG131" s="92"/>
      <c r="AH131" s="92"/>
      <c r="AI131" s="92"/>
      <c r="AJ131" s="92"/>
      <c r="AK131" s="92"/>
      <c r="AM131" s="92"/>
      <c r="AN131" s="92"/>
      <c r="AO131" s="92"/>
      <c r="AP131" s="92"/>
      <c r="BV131" s="288"/>
      <c r="BW131" s="288" t="s">
        <v>206</v>
      </c>
      <c r="BX131" s="288">
        <f>IF(H15="Imperial",          IF(H19="SC-44",           9,         6),         IF(H19="SC-44",           225,         150))</f>
        <v>9</v>
      </c>
      <c r="BY131" s="288"/>
      <c r="BZ131" s="288"/>
      <c r="CH131" s="5"/>
      <c r="CI131" s="9"/>
      <c r="CJ131" s="501" t="s">
        <v>42</v>
      </c>
      <c r="CK131" s="508" t="s">
        <v>43</v>
      </c>
      <c r="CL131" s="501" t="s">
        <v>44</v>
      </c>
      <c r="CM131" s="501" t="s">
        <v>45</v>
      </c>
      <c r="CN131" s="501" t="s">
        <v>46</v>
      </c>
      <c r="CO131" s="291"/>
      <c r="CP131" s="512"/>
      <c r="CQ131" s="512"/>
      <c r="CR131" s="512"/>
      <c r="CS131" s="512"/>
      <c r="CT131" s="512"/>
      <c r="CU131" s="512"/>
      <c r="CV131" s="512"/>
      <c r="CW131" s="512"/>
      <c r="CX131" s="512"/>
      <c r="CY131" s="495"/>
      <c r="CZ131" s="495"/>
      <c r="DA131" s="105"/>
      <c r="DB131" s="319"/>
      <c r="DC131" s="319"/>
      <c r="DD131" s="319"/>
      <c r="DE131" s="319"/>
    </row>
    <row r="132" spans="2:109" ht="15" customHeight="1" x14ac:dyDescent="0.25">
      <c r="B132" s="92"/>
      <c r="C132" s="92"/>
      <c r="D132" s="92"/>
      <c r="E132" s="92"/>
      <c r="F132" s="92"/>
      <c r="G132" s="92"/>
      <c r="H132" s="321"/>
      <c r="I132" s="321"/>
      <c r="J132" s="92"/>
      <c r="K132" s="92"/>
      <c r="L132" s="92"/>
      <c r="M132" s="92"/>
      <c r="N132" s="92"/>
      <c r="O132" s="92"/>
      <c r="P132" s="92"/>
      <c r="Q132" s="92"/>
      <c r="R132" s="92"/>
      <c r="S132" s="92"/>
      <c r="T132" s="92"/>
      <c r="U132" s="92"/>
      <c r="V132" s="92"/>
      <c r="W132" s="92"/>
      <c r="X132" s="92"/>
      <c r="Y132" s="92"/>
      <c r="Z132" s="92"/>
      <c r="AA132" s="92"/>
      <c r="AB132" s="92"/>
      <c r="AC132" s="92"/>
      <c r="AD132" s="92"/>
      <c r="AE132" s="92"/>
      <c r="AF132" s="92"/>
      <c r="AG132" s="92"/>
      <c r="AH132" s="92"/>
      <c r="AI132" s="92"/>
      <c r="AJ132" s="92"/>
      <c r="AK132" s="92"/>
      <c r="AM132" s="92"/>
      <c r="AN132" s="92"/>
      <c r="AO132" s="92"/>
      <c r="AP132" s="92"/>
      <c r="BV132" s="288"/>
      <c r="BW132" s="267" t="str">
        <f>IF(H15="Imperial",         "Cubic Yards",         "Cubic Meters")</f>
        <v>Cubic Yards</v>
      </c>
      <c r="BX132" s="268" t="s">
        <v>207</v>
      </c>
      <c r="BY132" s="268" t="s">
        <v>208</v>
      </c>
      <c r="BZ132" s="268" t="s">
        <v>209</v>
      </c>
      <c r="CH132" s="5"/>
      <c r="CI132" s="9"/>
      <c r="CJ132" s="501"/>
      <c r="CK132" s="508"/>
      <c r="CL132" s="501"/>
      <c r="CM132" s="501"/>
      <c r="CN132" s="501"/>
      <c r="CO132" s="291"/>
      <c r="CP132" s="519" t="s">
        <v>29</v>
      </c>
      <c r="CQ132" s="519"/>
      <c r="CR132" s="519"/>
      <c r="CS132" s="519"/>
      <c r="CT132" s="519"/>
      <c r="CU132" s="519"/>
      <c r="CV132" s="519"/>
      <c r="CW132" s="519"/>
      <c r="CX132" s="519"/>
      <c r="CY132" s="495"/>
      <c r="CZ132" s="495"/>
      <c r="DA132" s="105"/>
      <c r="DB132" s="319"/>
      <c r="DC132" s="319"/>
      <c r="DD132" s="319"/>
      <c r="DE132" s="319"/>
    </row>
    <row r="133" spans="2:109" ht="15" customHeight="1" x14ac:dyDescent="0.25">
      <c r="B133" s="92"/>
      <c r="C133" s="92"/>
      <c r="D133" s="92"/>
      <c r="E133" s="92"/>
      <c r="F133" s="92"/>
      <c r="G133" s="92"/>
      <c r="H133" s="321"/>
      <c r="I133" s="321"/>
      <c r="J133" s="322"/>
      <c r="K133" s="92"/>
      <c r="L133" s="93"/>
      <c r="M133" s="92"/>
      <c r="N133" s="92"/>
      <c r="O133" s="94"/>
      <c r="P133" s="94"/>
      <c r="Q133" s="94"/>
      <c r="R133" s="94"/>
      <c r="S133" s="94"/>
      <c r="T133" s="94"/>
      <c r="U133" s="94"/>
      <c r="V133" s="94"/>
      <c r="W133" s="94"/>
      <c r="X133" s="94"/>
      <c r="Y133" s="94"/>
      <c r="Z133" s="94"/>
      <c r="AA133" s="94"/>
      <c r="AB133" s="94"/>
      <c r="AC133" s="94"/>
      <c r="AD133" s="94"/>
      <c r="AE133" s="94"/>
      <c r="AF133" s="94"/>
      <c r="AG133" s="94"/>
      <c r="AH133" s="94"/>
      <c r="AI133" s="94"/>
      <c r="AJ133" s="92"/>
      <c r="AK133" s="92"/>
      <c r="AL133" s="92"/>
      <c r="AM133" s="92"/>
      <c r="AN133" s="92"/>
      <c r="AO133" s="92"/>
      <c r="AP133" s="92"/>
      <c r="BV133" s="288"/>
      <c r="BW133" s="137" t="s">
        <v>210</v>
      </c>
      <c r="BX133" s="288">
        <f>IF(AT33=0,     IF(H15="Imperial",           (AO31*AO33*AO35)/27,               (AO31*AO33*AO35)),      IF(H15="Imperial",       ((AO31*AO33*AO35)-((AT33-AT31)*CG67))/27,      (AO31*AO33*AO35)-((AT33-AT31)*CG67)))</f>
        <v>25.429355281207133</v>
      </c>
      <c r="BY133" s="288">
        <f>IF(H15="Imperial",       IF(AT33=0,        IF(AW31&lt;=2,           ((AT31*AW31)*BX67)/27,           (((2*AT31)*BX67)+(((AW31-2)*AT31)*CC67))/27),               IF(AW33&lt;=2,         (((AT33*AW33)*BX67)+((AT31*AW31)*CC67))/27,                                              IF(AW31&lt;=2,               (((2*AT33)*BX67)+((AT31*AW31)*BX67)+(((AW33-2)*AT33)*CC67))/27,                  (((2*AT33)*BX67)+((2*AT31)*BX67)+(((AW33-2)*AT33)*CC67)+(((AW31-2)*AT31)*CC67))/27))),                                          IF(AT33=0,             IF(AW31&lt;=2,                 (AT31*AW31)*BX67,                    ((2*AT31)*BX67)+(((AW31-2)*AT31)*CC67)),                           IF(AW33&lt;=2,             ((AT33*AW33)*BX67)+((AT31*AW31)*CC67),                                              IF(AW31&lt;=2,               ((2*AT33)*BX67)+((AT31*AW31)*BX67)+(((AW33-2)*AT33)*CC67),                  ((2*AT33)*BX67)+((2*AT31)*BX67)+(((AW33-2)*AT33)*CC67)+(((AW31-2)*AT31)*CC67)))))</f>
        <v>6.8925925925925924</v>
      </c>
      <c r="BZ133" s="288">
        <f>BX133-BY133</f>
        <v>18.536762688614541</v>
      </c>
      <c r="CH133" s="5"/>
      <c r="CI133" s="9"/>
      <c r="CJ133" s="501"/>
      <c r="CK133" s="508"/>
      <c r="CL133" s="501"/>
      <c r="CM133" s="501"/>
      <c r="CN133" s="501"/>
      <c r="CO133" s="291"/>
      <c r="CP133" s="519"/>
      <c r="CQ133" s="519"/>
      <c r="CR133" s="519"/>
      <c r="CS133" s="519"/>
      <c r="CT133" s="519"/>
      <c r="CU133" s="519"/>
      <c r="CV133" s="519"/>
      <c r="CW133" s="519"/>
      <c r="CX133" s="519"/>
      <c r="CY133" s="495" t="s">
        <v>34</v>
      </c>
      <c r="CZ133" s="493" t="s">
        <v>35</v>
      </c>
      <c r="DA133" s="105"/>
      <c r="DB133" s="319"/>
      <c r="DC133" s="319"/>
      <c r="DD133" s="319"/>
      <c r="DE133" s="319"/>
    </row>
    <row r="134" spans="2:109" ht="15" customHeight="1" x14ac:dyDescent="0.25">
      <c r="B134" s="92"/>
      <c r="C134" s="92"/>
      <c r="D134" s="92"/>
      <c r="E134" s="92"/>
      <c r="F134" s="323">
        <v>18</v>
      </c>
      <c r="G134" s="323"/>
      <c r="H134" s="324">
        <v>34</v>
      </c>
      <c r="I134" s="324">
        <v>44</v>
      </c>
      <c r="J134" s="92"/>
      <c r="K134" s="92"/>
      <c r="L134" s="92"/>
      <c r="M134" s="94"/>
      <c r="N134" s="94"/>
      <c r="O134" s="94"/>
      <c r="P134" s="94"/>
      <c r="Q134" s="94"/>
      <c r="R134" s="94"/>
      <c r="S134" s="94"/>
      <c r="T134" s="94"/>
      <c r="U134" s="94"/>
      <c r="V134" s="94"/>
      <c r="W134" s="94"/>
      <c r="X134" s="94"/>
      <c r="Y134" s="94"/>
      <c r="Z134" s="94"/>
      <c r="AA134" s="94"/>
      <c r="AB134" s="94"/>
      <c r="AC134" s="94"/>
      <c r="AD134" s="94"/>
      <c r="AE134" s="94"/>
      <c r="AF134" s="94"/>
      <c r="AG134" s="94"/>
      <c r="AH134" s="94"/>
      <c r="AI134" s="94"/>
      <c r="AJ134" s="94"/>
      <c r="AK134" s="94"/>
      <c r="AL134" s="92"/>
      <c r="AM134" s="92"/>
      <c r="AN134" s="92"/>
      <c r="AO134" s="92"/>
      <c r="AP134" s="92"/>
      <c r="BV134" s="288"/>
      <c r="BW134" s="137"/>
      <c r="BX134" s="288"/>
      <c r="BY134" s="288"/>
      <c r="BZ134" s="288"/>
      <c r="CH134" s="7"/>
      <c r="CI134" s="9"/>
      <c r="CJ134" s="501"/>
      <c r="CK134" s="138">
        <f>IF(H37&lt;3,     0,        IF(CN150=1,         IF(CN151=1,    1,    2),             IF(CN151=1,    2,    4)))</f>
        <v>0</v>
      </c>
      <c r="CL134" s="138">
        <f>IF(CK134=0,     0,        IF(CK134=1,          CK134*(BY31+BY33),                  IF(CK134=2,             IF(CN151=1,         CC31+CC33,            CF31+CF33),             CK134*BY93)))</f>
        <v>0</v>
      </c>
      <c r="CM134" s="138">
        <f>IF(CK134=0,     0,        IF(CK134=1,          CK134*BY7,                  IF(CK134=2,             IF(CN151=1,         CC7,            CK134*BX93),             CK134*BX93)))</f>
        <v>0</v>
      </c>
      <c r="CN134" s="138">
        <f>CL134+CM134</f>
        <v>0</v>
      </c>
      <c r="CO134" s="108"/>
      <c r="CP134" s="494" t="str">
        <f>IF($H$15="Imperial",       "Required Cubic Feet",       "Required Cubic Meters")</f>
        <v>Required Cubic Feet</v>
      </c>
      <c r="CQ134" s="494" t="str">
        <f>IF($H$15="Imperial",       "Required Cubic Inches",       "Required Cubic mm")</f>
        <v>Required Cubic Inches</v>
      </c>
      <c r="CR134" s="494" t="str">
        <f>IF(CT2=1,       "Constraint Dimension (Width)",       "Constraint Dimension (Length)")</f>
        <v>Constraint Dimension (Length)</v>
      </c>
      <c r="CS134" s="494" t="str">
        <f>IF(CT2=1,       "(Constraint Width-2endR Width)/midR Width",       "(Constriant Length-2endC length)/midC length")</f>
        <v>(Constriant Length-2endC length)/midC length</v>
      </c>
      <c r="CT134" s="494"/>
      <c r="CU134" s="494" t="str">
        <f>IF(CT2=1,       "RoundDown for Maximum Number of midR",       "RoundDown for Maximum Number of midCs per Row")</f>
        <v>RoundDown for Maximum Number of midCs per Row</v>
      </c>
      <c r="CV134" s="494"/>
      <c r="CW134" s="494" t="str">
        <f>IF(CT2=1,       "Max suggested Number of Rows",      "Maximum Number of Chambers per Row")</f>
        <v>Maximum Number of Chambers per Row</v>
      </c>
      <c r="CX134" s="494"/>
      <c r="CY134" s="495"/>
      <c r="CZ134" s="493"/>
      <c r="DA134" s="105"/>
      <c r="DB134" s="319"/>
      <c r="DC134" s="319"/>
      <c r="DD134" s="319"/>
      <c r="DE134" s="319"/>
    </row>
    <row r="135" spans="2:109" ht="15.75" x14ac:dyDescent="0.25">
      <c r="B135" s="92"/>
      <c r="C135" s="92"/>
      <c r="D135" s="325" t="s">
        <v>211</v>
      </c>
      <c r="E135" s="92"/>
      <c r="F135" s="326">
        <v>6</v>
      </c>
      <c r="G135" s="326"/>
      <c r="H135" s="321">
        <v>6</v>
      </c>
      <c r="I135" s="321">
        <v>9</v>
      </c>
      <c r="J135" s="92"/>
      <c r="K135" s="92"/>
      <c r="L135" s="93"/>
      <c r="M135" s="94"/>
      <c r="N135" s="94"/>
      <c r="O135" s="94"/>
      <c r="P135" s="94"/>
      <c r="Q135" s="94"/>
      <c r="R135" s="94"/>
      <c r="S135" s="94"/>
      <c r="T135" s="94"/>
      <c r="U135" s="94"/>
      <c r="V135" s="94"/>
      <c r="W135" s="94"/>
      <c r="X135" s="94"/>
      <c r="Y135" s="94"/>
      <c r="Z135" s="94"/>
      <c r="AA135" s="94"/>
      <c r="AB135" s="94"/>
      <c r="AC135" s="94"/>
      <c r="AD135" s="94"/>
      <c r="AE135" s="94"/>
      <c r="AF135" s="94"/>
      <c r="AG135" s="94"/>
      <c r="AH135" s="94"/>
      <c r="AI135" s="94"/>
      <c r="AJ135" s="94"/>
      <c r="AK135" s="94"/>
      <c r="AL135" s="92"/>
      <c r="AM135" s="92"/>
      <c r="AN135" s="92"/>
      <c r="AO135" s="92"/>
      <c r="AP135" s="92"/>
      <c r="BV135" s="288"/>
      <c r="BW135" s="137" t="s">
        <v>212</v>
      </c>
      <c r="BX135" s="288"/>
      <c r="BY135" s="288"/>
      <c r="BZ135" s="288"/>
      <c r="CH135" s="7"/>
      <c r="CI135" s="9"/>
      <c r="CJ135" s="501" t="s">
        <v>51</v>
      </c>
      <c r="CK135" s="508" t="s">
        <v>43</v>
      </c>
      <c r="CL135" s="501" t="s">
        <v>44</v>
      </c>
      <c r="CM135" s="501" t="s">
        <v>45</v>
      </c>
      <c r="CN135" s="501" t="s">
        <v>46</v>
      </c>
      <c r="CP135" s="494"/>
      <c r="CQ135" s="494"/>
      <c r="CR135" s="494"/>
      <c r="CS135" s="494"/>
      <c r="CT135" s="494"/>
      <c r="CU135" s="494"/>
      <c r="CV135" s="494"/>
      <c r="CW135" s="494"/>
      <c r="CX135" s="494"/>
      <c r="CY135" s="499">
        <f>IF(CT2=1,    IF(H15="Imperial",      IF(CW136=1,    (BY91+H55-(H45/2))/12,   ((2*BY91)+((CW136-2)*BZ91))/12),          IF(CW136=1,        (BY91+H55-(H45/2))/1000,      ((2*BY91)+((CW136-2)*BZ91))/1000)),                            IF(H15="Imperial",          IF(CT143=1,     (BY91+H55-(H45/2))/12,      ((2*BY91)+((CT143-2)*BZ91))/12),             IF(CT143=1,        (BY91+H55-(H45/2))/1000,      ((2*BY91)+((CT143-2)*BZ91))/1000)))</f>
        <v>8.6666666666666661</v>
      </c>
      <c r="CZ135" s="499">
        <f>IF(CT2=1,                 "N/A",                 IF(H15="Imperial",                  IF(CW136=1,                 (BY5+H55+H55)/12,               ((2*BY92)+((CW136-2)*CD92))/12),                                                                                                                              IF(CW136=1,            (BY5+H55+H55)/1000,               ((2*BY92)+((CW136-2)*CD92))/1000)))</f>
        <v>9.25</v>
      </c>
      <c r="DA135" s="105"/>
      <c r="DB135" s="319"/>
      <c r="DC135" s="319"/>
      <c r="DD135" s="319"/>
    </row>
    <row r="136" spans="2:109" ht="15" customHeight="1" x14ac:dyDescent="0.25">
      <c r="B136" s="92"/>
      <c r="C136" s="92"/>
      <c r="D136" s="325" t="s">
        <v>213</v>
      </c>
      <c r="E136" s="92"/>
      <c r="F136" s="326">
        <v>96</v>
      </c>
      <c r="G136" s="326"/>
      <c r="H136" s="321">
        <v>96</v>
      </c>
      <c r="I136" s="321">
        <v>96</v>
      </c>
      <c r="J136" s="92"/>
      <c r="K136" s="92"/>
      <c r="L136" s="92"/>
      <c r="M136" s="94"/>
      <c r="N136" s="94"/>
      <c r="O136" s="92"/>
      <c r="P136" s="92"/>
      <c r="Q136" s="92"/>
      <c r="R136" s="92"/>
      <c r="S136" s="92"/>
      <c r="T136" s="92"/>
      <c r="U136" s="92"/>
      <c r="V136" s="92"/>
      <c r="W136" s="92"/>
      <c r="X136" s="92"/>
      <c r="Y136" s="92"/>
      <c r="Z136" s="92"/>
      <c r="AA136" s="92"/>
      <c r="AB136" s="92"/>
      <c r="AC136" s="92"/>
      <c r="AD136" s="92"/>
      <c r="AE136" s="92"/>
      <c r="AF136" s="92"/>
      <c r="AG136" s="92"/>
      <c r="AH136" s="92"/>
      <c r="AI136" s="92"/>
      <c r="AJ136" s="94"/>
      <c r="AK136" s="94"/>
      <c r="AL136" s="92"/>
      <c r="AM136" s="92"/>
      <c r="AN136" s="92"/>
      <c r="AO136" s="92"/>
      <c r="AP136" s="92"/>
      <c r="BV136" s="288"/>
      <c r="BW136" s="136" t="s">
        <v>214</v>
      </c>
      <c r="BX136" s="288">
        <f>IF(H15="Imperial",                (AO43*AO45*AO47)/27,           AO43*AO45*AO47)</f>
        <v>0</v>
      </c>
      <c r="BY136" s="288">
        <f>IF(H15="Imperial",        IF(AT45=0,         IF(AW43&lt;=2,          ((AT43*AW43)*BX81)/27,            ((((AW43-2)*AT43)*CC81)+((2*AT43)*BX81))/27),       IF(AW45&lt;=2,      (((AT45*AW45)*BX81)+((AT43*AW43)*BX81))/27,       IF(AW43&lt;=2,      (((2*AT45)*BX81)+((AT43*AW43)*BX81)+(((AW45-2)*AT45)*CC81))/27,                    (((2*AT45)*BX81)+((2*AT43)*BX81)+(((AW45-2)*AT45)*CC81)+(((AW43-2)*AT43)*CC81))/27))),                                         IF(AT45=0,                 IF(AW43&lt;=2,               (AT43*AW43)*BX81,            (((AW43-2)*AT43)*CC81)+((2*AT43)*BX81)),               IF(AW45&lt;=2,          ((AT45*AW45)*BX81)+((AT43*AW43)*BX81),                       IF(AW43&lt;=2,                         ((2*AT45)*BX81)+((AT43*AW43)*BX81)+(((AW45-2)*AT45)*CC81),           ((2*AT45)*BX81)+((2*AT43)*BX81)+(((AW45-2)*AT45)*CC81)+(((AW43-2)*AT43)*CC81)))))</f>
        <v>0</v>
      </c>
      <c r="BZ136" s="288">
        <f>BX136-BY136</f>
        <v>0</v>
      </c>
      <c r="CH136" s="2"/>
      <c r="CI136" s="2"/>
      <c r="CJ136" s="501"/>
      <c r="CK136" s="508"/>
      <c r="CL136" s="501"/>
      <c r="CM136" s="501"/>
      <c r="CN136" s="501"/>
      <c r="CP136" s="495">
        <f>IF($H$37=1,       0,                 IF($H$37=2,      0,             IF(H37=3,      $H$17/3,        (H17-CN193)/3)))</f>
        <v>0</v>
      </c>
      <c r="CQ136" s="502">
        <f>IF($H$15="Imperial",         CP136*1728,        CP136*1000000000)</f>
        <v>0</v>
      </c>
      <c r="CR136" s="495">
        <f>IF(H37&lt;3,       0,       IF(H37=4,        IF(CT2=2,    CN195,        CN194),         H25))</f>
        <v>0</v>
      </c>
      <c r="CS136" s="495">
        <f>IF($H$15="Imperial",                    IF(CT2=1,              ((CR136*12)-(2*BY91))/BZ91,                                    ((CR136*12)-(2*BY92))/CD92),                                                                                                                                                                            IF(CT2=1,                                                                                                                     ((CR136*1000)-(2*BY91))/BZ91,                                ((CR136*1000)-(2*BY92))/CD92))</f>
        <v>-2.4864864864864864</v>
      </c>
      <c r="CT136" s="495"/>
      <c r="CU136" s="495">
        <f>IF(CS136&lt;0,        0,         ROUNDDOWN(CS136,0))</f>
        <v>0</v>
      </c>
      <c r="CV136" s="495"/>
      <c r="CW136" s="495">
        <f>IF(CP136&lt;=BY35,     1,    IF(H15="Imperial",      IF(CT2=1,         IF(CR136&lt;(((2*BY91)/12)),         1,     CU136+2),             IF(CR136&lt;(((2*BY92)/12)),      1,    CU136+2)),                                                                                        IF(CT2=1,                                                                                                IF(CR136&lt;(((2*BY91)/1000)),     1,     CU136+2),             IF(CR136&lt;(((2*BY92)/1000)),       1,     CU136+2))))</f>
        <v>1</v>
      </c>
      <c r="CX136" s="495"/>
      <c r="CY136" s="499"/>
      <c r="CZ136" s="499"/>
      <c r="DA136" s="105"/>
      <c r="DB136" s="319"/>
      <c r="DC136" s="319"/>
      <c r="DD136" s="319"/>
    </row>
    <row r="137" spans="2:109" ht="15" customHeight="1" x14ac:dyDescent="0.25">
      <c r="B137" s="92"/>
      <c r="C137" s="92"/>
      <c r="D137" s="325"/>
      <c r="E137" s="92"/>
      <c r="F137" s="326"/>
      <c r="G137" s="326"/>
      <c r="H137" s="321"/>
      <c r="I137" s="321"/>
      <c r="J137" s="92"/>
      <c r="K137" s="92"/>
      <c r="L137" s="92"/>
      <c r="M137" s="92"/>
      <c r="N137" s="92"/>
      <c r="O137" s="92"/>
      <c r="P137" s="92"/>
      <c r="Q137" s="92"/>
      <c r="R137" s="92"/>
      <c r="S137" s="92"/>
      <c r="T137" s="92"/>
      <c r="U137" s="92"/>
      <c r="V137" s="92"/>
      <c r="W137" s="92"/>
      <c r="X137" s="92"/>
      <c r="Y137" s="92"/>
      <c r="Z137" s="92"/>
      <c r="AA137" s="92"/>
      <c r="AB137" s="92"/>
      <c r="AC137" s="92"/>
      <c r="AD137" s="92"/>
      <c r="AE137" s="92"/>
      <c r="AF137" s="92"/>
      <c r="AG137" s="92"/>
      <c r="AH137" s="92"/>
      <c r="AI137" s="92"/>
      <c r="AJ137" s="92"/>
      <c r="AK137" s="92"/>
      <c r="AL137" s="92"/>
      <c r="AM137" s="92"/>
      <c r="AN137" s="92"/>
      <c r="AO137" s="92"/>
      <c r="AP137" s="92"/>
      <c r="BV137" s="288"/>
      <c r="BW137" s="136" t="s">
        <v>215</v>
      </c>
      <c r="BX137" s="288">
        <f>BX133+BX136</f>
        <v>25.429355281207133</v>
      </c>
      <c r="BY137" s="288">
        <f t="shared" ref="BY137:BZ137" si="1">BY133+BY136</f>
        <v>6.8925925925925924</v>
      </c>
      <c r="BZ137" s="288">
        <f t="shared" si="1"/>
        <v>18.536762688614541</v>
      </c>
      <c r="CH137" s="2"/>
      <c r="CI137" s="2"/>
      <c r="CJ137" s="501"/>
      <c r="CK137" s="508"/>
      <c r="CL137" s="501"/>
      <c r="CM137" s="501"/>
      <c r="CN137" s="501"/>
      <c r="CP137" s="495"/>
      <c r="CQ137" s="502"/>
      <c r="CR137" s="495"/>
      <c r="CS137" s="495"/>
      <c r="CT137" s="495"/>
      <c r="CU137" s="495"/>
      <c r="CV137" s="495"/>
      <c r="CW137" s="495"/>
      <c r="CX137" s="495"/>
      <c r="CY137" s="159"/>
      <c r="CZ137" s="159"/>
      <c r="DA137" s="105"/>
      <c r="DB137" s="319"/>
      <c r="DC137" s="319"/>
      <c r="DD137" s="319"/>
    </row>
    <row r="138" spans="2:109" ht="15" customHeight="1" x14ac:dyDescent="0.25">
      <c r="B138" s="92"/>
      <c r="C138" s="92"/>
      <c r="D138" s="325" t="s">
        <v>216</v>
      </c>
      <c r="E138" s="92"/>
      <c r="F138" s="326">
        <v>18</v>
      </c>
      <c r="G138" s="326"/>
      <c r="H138" s="321">
        <v>18</v>
      </c>
      <c r="I138" s="321">
        <v>22</v>
      </c>
      <c r="J138" s="322"/>
      <c r="K138" s="92"/>
      <c r="L138" s="92"/>
      <c r="M138" s="92"/>
      <c r="N138" s="92"/>
      <c r="O138" s="92"/>
      <c r="P138" s="92"/>
      <c r="Q138" s="92"/>
      <c r="R138" s="92"/>
      <c r="S138" s="92"/>
      <c r="T138" s="92"/>
      <c r="U138" s="92"/>
      <c r="V138" s="92"/>
      <c r="W138" s="92"/>
      <c r="X138" s="92"/>
      <c r="Y138" s="92"/>
      <c r="Z138" s="92"/>
      <c r="AA138" s="92"/>
      <c r="AB138" s="92"/>
      <c r="AC138" s="92"/>
      <c r="AD138" s="92"/>
      <c r="AE138" s="92"/>
      <c r="AF138" s="92"/>
      <c r="AG138" s="92"/>
      <c r="AH138" s="92"/>
      <c r="AI138" s="92"/>
      <c r="AJ138" s="92"/>
      <c r="AK138" s="92"/>
      <c r="AL138" s="92"/>
      <c r="AM138" s="92"/>
      <c r="AN138" s="92"/>
      <c r="AO138" s="92"/>
      <c r="AP138" s="92"/>
      <c r="BV138" s="288"/>
      <c r="BW138" s="137"/>
      <c r="BX138" s="288"/>
      <c r="BY138" s="288"/>
      <c r="BZ138" s="288"/>
      <c r="CH138" s="3"/>
      <c r="CI138" s="3"/>
      <c r="CJ138" s="501"/>
      <c r="CK138" s="139">
        <f>IF(H37&lt;3,       0,         IF(CS154=0,        0,         IF(CN150=1,        CS154,    2*CS154)))</f>
        <v>0</v>
      </c>
      <c r="CL138" s="266">
        <f>CK138*CD93</f>
        <v>0</v>
      </c>
      <c r="CM138" s="272">
        <f>CK138*CC93</f>
        <v>0</v>
      </c>
      <c r="CN138" s="138">
        <f>IF(CK138=0,           0,                 IF(H15="Imperial",               IF(CR157=1,                CL138+CM138+(CK138*((((H55-(H45/2))*BY89*BY92)/1728)*(H33/100))),                        CL138+CM138),                                                           IF(CR157=1,                                                                                                              CL138+CM138+(CK138*((((H55-(H45/2))*BY89*BY92)/1000000000)*(H33/100))),                   CL138+CM138)))</f>
        <v>0</v>
      </c>
      <c r="CP138" s="493" t="s">
        <v>52</v>
      </c>
      <c r="CQ138" s="493"/>
      <c r="CR138" s="493"/>
      <c r="CS138" s="493"/>
      <c r="CT138" s="493"/>
      <c r="CU138" s="493"/>
      <c r="CV138" s="493"/>
      <c r="CW138" s="493"/>
      <c r="CX138" s="493"/>
      <c r="CY138" s="159"/>
      <c r="CZ138" s="159"/>
      <c r="DA138" s="105"/>
      <c r="DB138" s="319"/>
      <c r="DC138" s="319"/>
      <c r="DD138" s="319"/>
    </row>
    <row r="139" spans="2:109" ht="15" customHeight="1" x14ac:dyDescent="0.25">
      <c r="B139" s="92"/>
      <c r="C139" s="92"/>
      <c r="D139" s="325" t="s">
        <v>217</v>
      </c>
      <c r="E139" s="92"/>
      <c r="F139" s="326">
        <v>192</v>
      </c>
      <c r="G139" s="326"/>
      <c r="H139" s="321">
        <v>192</v>
      </c>
      <c r="I139" s="321">
        <v>96</v>
      </c>
      <c r="J139" s="92"/>
      <c r="K139" s="92"/>
      <c r="L139" s="92"/>
      <c r="M139" s="92"/>
      <c r="N139" s="92"/>
      <c r="O139" s="92"/>
      <c r="P139" s="92"/>
      <c r="Q139" s="92"/>
      <c r="R139" s="92"/>
      <c r="S139" s="92"/>
      <c r="T139" s="92"/>
      <c r="U139" s="92"/>
      <c r="V139" s="92"/>
      <c r="W139" s="92"/>
      <c r="X139" s="92"/>
      <c r="Y139" s="92"/>
      <c r="Z139" s="92"/>
      <c r="AA139" s="92"/>
      <c r="AB139" s="92"/>
      <c r="AC139" s="92"/>
      <c r="AD139" s="92"/>
      <c r="AE139" s="92"/>
      <c r="AF139" s="92"/>
      <c r="AG139" s="92"/>
      <c r="AH139" s="92"/>
      <c r="AI139" s="92"/>
      <c r="AJ139" s="92"/>
      <c r="AK139" s="92"/>
      <c r="AL139" s="92"/>
      <c r="AM139" s="92"/>
      <c r="AN139" s="92"/>
      <c r="AO139" s="92"/>
      <c r="AP139" s="92"/>
      <c r="BV139" s="288"/>
      <c r="BW139" s="137" t="s">
        <v>218</v>
      </c>
      <c r="BX139" s="288" t="s">
        <v>219</v>
      </c>
      <c r="BY139" s="288"/>
      <c r="BZ139" s="288"/>
      <c r="CH139" s="5"/>
      <c r="CI139" s="9"/>
      <c r="CJ139" s="501" t="s">
        <v>61</v>
      </c>
      <c r="CK139" s="508" t="s">
        <v>43</v>
      </c>
      <c r="CL139" s="501" t="s">
        <v>44</v>
      </c>
      <c r="CM139" s="501" t="s">
        <v>45</v>
      </c>
      <c r="CN139" s="501" t="s">
        <v>46</v>
      </c>
      <c r="CP139" s="493"/>
      <c r="CQ139" s="493"/>
      <c r="CR139" s="493"/>
      <c r="CS139" s="493"/>
      <c r="CT139" s="493"/>
      <c r="CU139" s="493"/>
      <c r="CV139" s="493"/>
      <c r="CW139" s="493"/>
      <c r="CX139" s="493"/>
      <c r="CY139" s="159"/>
      <c r="CZ139" s="159"/>
      <c r="DA139" s="105"/>
      <c r="DB139" s="319"/>
      <c r="DC139" s="319"/>
      <c r="DD139" s="319"/>
    </row>
    <row r="140" spans="2:109" ht="15" customHeight="1" x14ac:dyDescent="0.25">
      <c r="B140" s="92"/>
      <c r="C140" s="92"/>
      <c r="D140" s="325"/>
      <c r="E140" s="92"/>
      <c r="F140" s="326"/>
      <c r="G140" s="326"/>
      <c r="H140" s="321"/>
      <c r="I140" s="321"/>
      <c r="J140" s="92"/>
      <c r="K140" s="92"/>
      <c r="L140" s="92"/>
      <c r="M140" s="92"/>
      <c r="N140" s="92"/>
      <c r="O140" s="92"/>
      <c r="P140" s="92"/>
      <c r="Q140" s="92"/>
      <c r="R140" s="92"/>
      <c r="S140" s="92"/>
      <c r="T140" s="92"/>
      <c r="U140" s="92"/>
      <c r="V140" s="92"/>
      <c r="W140" s="92"/>
      <c r="X140" s="92"/>
      <c r="Y140" s="92"/>
      <c r="Z140" s="92"/>
      <c r="AA140" s="92"/>
      <c r="AB140" s="92"/>
      <c r="AC140" s="92"/>
      <c r="AD140" s="92"/>
      <c r="AE140" s="92"/>
      <c r="AF140" s="92"/>
      <c r="AG140" s="92"/>
      <c r="AH140" s="92"/>
      <c r="AI140" s="92"/>
      <c r="AJ140" s="92"/>
      <c r="AK140" s="92"/>
      <c r="AL140" s="92"/>
      <c r="AM140" s="92"/>
      <c r="AN140" s="92"/>
      <c r="AO140" s="92"/>
      <c r="AP140" s="92"/>
      <c r="BV140" s="288"/>
      <c r="BW140" s="136" t="s">
        <v>220</v>
      </c>
      <c r="BX140" s="288">
        <f>IF(H15="Imperial",                   (AO55*AO57*AO59)/27,             AO55*AO57*AO59)</f>
        <v>0</v>
      </c>
      <c r="BY140" s="288">
        <f>IF(H15="Imperial",                IF(AW55&lt;=2,               ((AT55*AW55)*BX93)/27,                   (((2*AT55)*BX93)+(((AW55-2)*AT55)*CC93))/27),             IF(AW55&lt;=2,               ((AT55*AW55)*BX93),                   ((2*AT55)*BX93)+(((AW55-2)*AT55)*CC93)))</f>
        <v>0</v>
      </c>
      <c r="BZ140" s="288">
        <f>BX140-BY140</f>
        <v>0</v>
      </c>
      <c r="CH140" s="16"/>
      <c r="CI140" s="9"/>
      <c r="CJ140" s="501"/>
      <c r="CK140" s="508"/>
      <c r="CL140" s="501"/>
      <c r="CM140" s="501"/>
      <c r="CN140" s="501"/>
      <c r="CP140" s="494" t="str">
        <f>IF(CT2=1,    "",      "number of endCs per fullR*endRendCvolumes")</f>
        <v>number of endCs per fullR*endRendCvolumes</v>
      </c>
      <c r="CQ140" s="494" t="str">
        <f>IF(CT2=1,       "",      "Max number of midC per fullR*endRmidC Volume")</f>
        <v>Max number of midC per fullR*endRmidC Volume</v>
      </c>
      <c r="CR140" s="494"/>
      <c r="CS140" s="494" t="str">
        <f>IF(CT2=1,     "",      "Number of End Rows")</f>
        <v>Number of End Rows</v>
      </c>
      <c r="CT140" s="494" t="str">
        <f>IF(CT2=1,        "",     "min number of rows suggested")</f>
        <v>min number of rows suggested</v>
      </c>
      <c r="CU140" s="494"/>
      <c r="CV140" s="493" t="s">
        <v>56</v>
      </c>
      <c r="CW140" s="493"/>
      <c r="CX140" s="493"/>
      <c r="CY140" s="159"/>
      <c r="CZ140" s="159"/>
      <c r="DA140" s="105"/>
      <c r="DB140" s="319"/>
      <c r="DC140" s="319"/>
      <c r="DD140" s="319"/>
    </row>
    <row r="141" spans="2:109" ht="15" customHeight="1" x14ac:dyDescent="0.25">
      <c r="B141" s="92"/>
      <c r="C141" s="92"/>
      <c r="D141" s="325" t="s">
        <v>221</v>
      </c>
      <c r="E141" s="92"/>
      <c r="F141" s="326">
        <v>12</v>
      </c>
      <c r="G141" s="326"/>
      <c r="H141" s="321">
        <v>12</v>
      </c>
      <c r="I141" s="321">
        <v>12</v>
      </c>
      <c r="J141" s="92"/>
      <c r="K141" s="92"/>
      <c r="L141" s="92"/>
      <c r="M141" s="92"/>
      <c r="N141" s="92"/>
      <c r="O141" s="92"/>
      <c r="P141" s="92"/>
      <c r="Q141" s="92"/>
      <c r="R141" s="92"/>
      <c r="S141" s="92"/>
      <c r="T141" s="92"/>
      <c r="U141" s="92"/>
      <c r="V141" s="92"/>
      <c r="W141" s="92"/>
      <c r="X141" s="92"/>
      <c r="Y141" s="92"/>
      <c r="Z141" s="92"/>
      <c r="AA141" s="92"/>
      <c r="AB141" s="92"/>
      <c r="AC141" s="92"/>
      <c r="AD141" s="92"/>
      <c r="AE141" s="92"/>
      <c r="AF141" s="92"/>
      <c r="AG141" s="92"/>
      <c r="AH141" s="92"/>
      <c r="AI141" s="92"/>
      <c r="AJ141" s="92"/>
      <c r="AK141" s="92"/>
      <c r="AL141" s="92"/>
      <c r="AM141" s="92"/>
      <c r="AN141" s="92"/>
      <c r="AO141" s="92"/>
      <c r="AP141" s="92"/>
      <c r="BV141" s="288"/>
      <c r="BW141" s="136" t="s">
        <v>215</v>
      </c>
      <c r="BX141" s="288">
        <f>BX137+BX140</f>
        <v>25.429355281207133</v>
      </c>
      <c r="BY141" s="288">
        <f t="shared" ref="BY141" si="2">BY137+BY140</f>
        <v>6.8925925925925924</v>
      </c>
      <c r="BZ141" s="288">
        <f>BZ137+BZ140</f>
        <v>18.536762688614541</v>
      </c>
      <c r="CH141" s="16"/>
      <c r="CI141" s="9"/>
      <c r="CJ141" s="501"/>
      <c r="CK141" s="508"/>
      <c r="CL141" s="501"/>
      <c r="CM141" s="501"/>
      <c r="CN141" s="501"/>
      <c r="CP141" s="494"/>
      <c r="CQ141" s="494"/>
      <c r="CR141" s="494"/>
      <c r="CS141" s="494"/>
      <c r="CT141" s="494"/>
      <c r="CU141" s="494"/>
      <c r="CV141" s="493"/>
      <c r="CW141" s="493"/>
      <c r="CX141" s="493"/>
      <c r="CY141" s="159"/>
      <c r="CZ141" s="159"/>
      <c r="DA141" s="105"/>
      <c r="DB141" s="319"/>
      <c r="DC141" s="319"/>
      <c r="DD141" s="319"/>
    </row>
    <row r="142" spans="2:109" ht="15" customHeight="1" x14ac:dyDescent="0.25">
      <c r="B142" s="322"/>
      <c r="C142" s="92"/>
      <c r="D142" s="325"/>
      <c r="E142" s="92"/>
      <c r="F142" s="326"/>
      <c r="G142" s="326"/>
      <c r="H142" s="321"/>
      <c r="I142" s="321"/>
      <c r="J142" s="92"/>
      <c r="K142" s="92"/>
      <c r="L142" s="92"/>
      <c r="M142" s="92"/>
      <c r="N142" s="92"/>
      <c r="O142" s="92"/>
      <c r="P142" s="92"/>
      <c r="Q142" s="92"/>
      <c r="R142" s="92"/>
      <c r="S142" s="92"/>
      <c r="T142" s="92"/>
      <c r="U142" s="92"/>
      <c r="V142" s="92"/>
      <c r="W142" s="92"/>
      <c r="X142" s="92"/>
      <c r="Y142" s="92"/>
      <c r="Z142" s="92"/>
      <c r="AA142" s="92"/>
      <c r="AB142" s="92"/>
      <c r="AC142" s="92"/>
      <c r="AD142" s="92"/>
      <c r="AE142" s="92"/>
      <c r="AF142" s="92"/>
      <c r="AG142" s="92"/>
      <c r="AH142" s="92"/>
      <c r="AI142" s="92"/>
      <c r="AJ142" s="92"/>
      <c r="AK142" s="92"/>
      <c r="AL142" s="92"/>
      <c r="AM142" s="92"/>
      <c r="AN142" s="92"/>
      <c r="AO142" s="92"/>
      <c r="AP142" s="92"/>
      <c r="CH142" s="16"/>
      <c r="CI142" s="9"/>
      <c r="CJ142" s="501"/>
      <c r="CK142" s="139">
        <f>IF(H37&lt;3,     0,            IF(CS149=0,     0,             IF(CR158=1,                  CS149,          2*CS149)))</f>
        <v>0</v>
      </c>
      <c r="CL142" s="266">
        <f>IF(CK142=0,       0,             IF(CN151=1,          CK142*(BY31+BY33),            CK142*BZ93))</f>
        <v>0</v>
      </c>
      <c r="CM142" s="272">
        <f>IF(CK142=0,     0,          IF(CN151=1,           CK142*BY7,          CK142*BX93))</f>
        <v>0</v>
      </c>
      <c r="CN142" s="138">
        <f>CL142+CM142</f>
        <v>0</v>
      </c>
      <c r="CP142" s="494"/>
      <c r="CQ142" s="494"/>
      <c r="CR142" s="494"/>
      <c r="CS142" s="494"/>
      <c r="CT142" s="494"/>
      <c r="CU142" s="494"/>
      <c r="CV142" s="493"/>
      <c r="CW142" s="493"/>
      <c r="CX142" s="493"/>
      <c r="CY142" s="159"/>
      <c r="CZ142" s="159"/>
      <c r="DA142" s="105"/>
      <c r="DB142" s="319"/>
      <c r="DC142" s="319"/>
      <c r="DD142" s="319"/>
    </row>
    <row r="143" spans="2:109" ht="15" customHeight="1" x14ac:dyDescent="0.25">
      <c r="B143" s="92"/>
      <c r="C143" s="92"/>
      <c r="D143" s="325" t="s">
        <v>222</v>
      </c>
      <c r="E143" s="92"/>
      <c r="F143" s="326">
        <f t="shared" ref="F143:G143" si="3">F135+F138+F134</f>
        <v>42</v>
      </c>
      <c r="G143" s="326">
        <f t="shared" si="3"/>
        <v>0</v>
      </c>
      <c r="H143" s="321">
        <f>H135+H138+H134</f>
        <v>58</v>
      </c>
      <c r="I143" s="321">
        <f>I135+I138+I134</f>
        <v>75</v>
      </c>
      <c r="J143" s="92"/>
      <c r="K143" s="92"/>
      <c r="L143" s="92"/>
      <c r="M143" s="92"/>
      <c r="N143" s="92"/>
      <c r="O143" s="92"/>
      <c r="P143" s="92"/>
      <c r="Q143" s="92"/>
      <c r="R143" s="92"/>
      <c r="S143" s="92"/>
      <c r="T143" s="92"/>
      <c r="U143" s="92"/>
      <c r="V143" s="92"/>
      <c r="W143" s="92"/>
      <c r="X143" s="92"/>
      <c r="Y143" s="92"/>
      <c r="Z143" s="92"/>
      <c r="AA143" s="92"/>
      <c r="AB143" s="92"/>
      <c r="AC143" s="92"/>
      <c r="AD143" s="92"/>
      <c r="AE143" s="92"/>
      <c r="AF143" s="92"/>
      <c r="AG143" s="92"/>
      <c r="AH143" s="92"/>
      <c r="AI143" s="92"/>
      <c r="AJ143" s="92"/>
      <c r="AK143" s="92"/>
      <c r="AL143" s="92"/>
      <c r="AM143" s="92"/>
      <c r="AN143" s="92"/>
      <c r="AO143" s="92"/>
      <c r="AP143" s="92"/>
      <c r="CG143" s="110"/>
      <c r="CH143" s="16"/>
      <c r="CI143" s="9"/>
      <c r="CJ143" s="501" t="s">
        <v>223</v>
      </c>
      <c r="CK143" s="508" t="s">
        <v>43</v>
      </c>
      <c r="CL143" s="501" t="s">
        <v>44</v>
      </c>
      <c r="CM143" s="501" t="s">
        <v>45</v>
      </c>
      <c r="CN143" s="501" t="s">
        <v>46</v>
      </c>
      <c r="CP143" s="495">
        <f>IF(CT2=1,         0,             IF(H15="Imperial",                     IF(CW136=1,            (BY7+BY31)+(((H55*BY89*(BY91))/1728)*(H33/100)),               2*CA93),                                                                                                                                                                                                                                          IF(CW136=1,                                         (BY7+BY31)+(((H55*BY89*(BY91))/1000000000)*(H33/100)),            2*CA93)))</f>
        <v>58.715999999999994</v>
      </c>
      <c r="CQ143" s="495">
        <f>IF(CT2=1,     0,      IF(CU136=0,       0,      CU136*CF93))</f>
        <v>0</v>
      </c>
      <c r="CR143" s="495"/>
      <c r="CS143" s="495">
        <f>IF(CT2=1,          0,        IF(CW136=1,                  IF(CP136&lt;=BY35,     1,              2),                    IF(CW136=2,                  IF(CP136&lt;=CF35,         1,              2),                                                                                                                                 IF(H15="Imperial",          IF(CP136&lt;=((2*(CA93+(((BY89*(H55-4.5)*(BY91+H55))/1728)*(H33/100))+(CU136*(CF93+(((CD89*(H55-4.5)*CD92)/1728)*(H33/100))))))),          1,             2),                                                                                                                               IF(CP136&lt;=((2*(CA93+(((BY89*(H55-115)*(BY91+H55))/1000000000)*(H33/100))+(CU136*(CF93+(((CD89*(H55-115)*CD92)/1000000000)*(H33/100))))))),             1,             2)))))</f>
        <v>1</v>
      </c>
      <c r="CT143" s="495">
        <f>IF(CT2=1,                0,            IF(CP136&lt;=(2*(CP143+CQ143)),                   CS143,               IF(CW136=1,              (ROUNDUP((CP136-(2*(CP143+CQ143)))/(CG41),0))+2,                                                                                       IF(CW136=2,                    (ROUNDUP((CP136-(2*(CP143+CQ143)))/(2*CB93),0)+2),            (ROUNDUP((CP136-(2*(CP143+CQ143)))/((CU136*CG93)+(2*CB93)),0)+2)))))</f>
        <v>1</v>
      </c>
      <c r="CU143" s="495"/>
      <c r="CV143" s="493"/>
      <c r="CW143" s="493"/>
      <c r="CX143" s="493"/>
      <c r="CY143" s="159"/>
      <c r="CZ143" s="159"/>
      <c r="DA143" s="105"/>
      <c r="DB143" s="319"/>
      <c r="DC143" s="319"/>
      <c r="DD143" s="319"/>
    </row>
    <row r="144" spans="2:109" ht="14.25" customHeight="1" x14ac:dyDescent="0.25">
      <c r="B144" s="92"/>
      <c r="C144" s="92"/>
      <c r="D144" s="325" t="s">
        <v>224</v>
      </c>
      <c r="E144" s="92"/>
      <c r="F144" s="326">
        <f t="shared" ref="F144:G144" si="4">F134+F136+F139</f>
        <v>306</v>
      </c>
      <c r="G144" s="326">
        <f t="shared" si="4"/>
        <v>0</v>
      </c>
      <c r="H144" s="321">
        <f>H134+H136+H139</f>
        <v>322</v>
      </c>
      <c r="I144" s="321">
        <f>I134+I136+I139</f>
        <v>236</v>
      </c>
      <c r="J144" s="92"/>
      <c r="K144" s="92"/>
      <c r="L144" s="92"/>
      <c r="M144" s="92"/>
      <c r="N144" s="92"/>
      <c r="O144" s="92"/>
      <c r="P144" s="92"/>
      <c r="Q144" s="92"/>
      <c r="R144" s="92"/>
      <c r="S144" s="92"/>
      <c r="T144" s="92"/>
      <c r="U144" s="92"/>
      <c r="V144" s="92"/>
      <c r="W144" s="92"/>
      <c r="X144" s="92"/>
      <c r="Y144" s="92"/>
      <c r="Z144" s="92"/>
      <c r="AA144" s="92"/>
      <c r="AB144" s="92"/>
      <c r="AC144" s="92"/>
      <c r="AD144" s="92"/>
      <c r="AE144" s="92"/>
      <c r="AF144" s="92"/>
      <c r="AG144" s="92"/>
      <c r="AH144" s="92"/>
      <c r="AI144" s="92"/>
      <c r="AJ144" s="92"/>
      <c r="AK144" s="92"/>
      <c r="AL144" s="92"/>
      <c r="AM144" s="92"/>
      <c r="AN144" s="92"/>
      <c r="AO144" s="92"/>
      <c r="AP144" s="92"/>
      <c r="AR144" s="15"/>
      <c r="CG144" s="110"/>
      <c r="CH144" s="16"/>
      <c r="CI144" s="9"/>
      <c r="CJ144" s="501"/>
      <c r="CK144" s="508"/>
      <c r="CL144" s="501"/>
      <c r="CM144" s="501"/>
      <c r="CN144" s="501"/>
      <c r="CP144" s="495"/>
      <c r="CQ144" s="495"/>
      <c r="CR144" s="495"/>
      <c r="CS144" s="495"/>
      <c r="CT144" s="495"/>
      <c r="CU144" s="495"/>
      <c r="CV144" s="493"/>
      <c r="CW144" s="493"/>
      <c r="CX144" s="493"/>
      <c r="CY144" s="159"/>
      <c r="CZ144" s="159"/>
      <c r="DA144" s="105"/>
      <c r="DB144" s="319"/>
      <c r="DC144" s="319"/>
      <c r="DD144" s="319"/>
    </row>
    <row r="145" spans="2:119" ht="15" customHeight="1" x14ac:dyDescent="0.25">
      <c r="B145" s="92"/>
      <c r="C145" s="92"/>
      <c r="D145" s="325" t="s">
        <v>225</v>
      </c>
      <c r="E145" s="92"/>
      <c r="F145" s="326">
        <f t="shared" ref="F145:G145" si="5">(F134*2)+F135+F138+(F141)</f>
        <v>72</v>
      </c>
      <c r="G145" s="326">
        <f t="shared" si="5"/>
        <v>0</v>
      </c>
      <c r="H145" s="321">
        <f>(H134*2)+H135+H138+(H141)</f>
        <v>104</v>
      </c>
      <c r="I145" s="321">
        <f>(I134*2)+I135+I138+(I141)</f>
        <v>131</v>
      </c>
      <c r="J145" s="92"/>
      <c r="K145" s="92"/>
      <c r="L145" s="92"/>
      <c r="M145" s="92"/>
      <c r="N145" s="92"/>
      <c r="O145" s="92"/>
      <c r="P145" s="92"/>
      <c r="Q145" s="92"/>
      <c r="R145" s="92"/>
      <c r="S145" s="92"/>
      <c r="T145" s="92"/>
      <c r="U145" s="92"/>
      <c r="V145" s="92"/>
      <c r="W145" s="92"/>
      <c r="X145" s="92"/>
      <c r="Y145" s="92"/>
      <c r="Z145" s="92"/>
      <c r="AA145" s="92"/>
      <c r="AB145" s="92"/>
      <c r="AC145" s="92"/>
      <c r="AD145" s="92"/>
      <c r="AE145" s="92"/>
      <c r="AF145" s="92"/>
      <c r="AG145" s="92"/>
      <c r="AH145" s="92"/>
      <c r="AI145" s="92"/>
      <c r="AJ145" s="92"/>
      <c r="AK145" s="92"/>
      <c r="AL145" s="92"/>
      <c r="AM145" s="92"/>
      <c r="AN145" s="92"/>
      <c r="AO145" s="92"/>
      <c r="AP145" s="92"/>
      <c r="CH145" s="16"/>
      <c r="CI145" s="9"/>
      <c r="CJ145" s="501"/>
      <c r="CK145" s="508"/>
      <c r="CL145" s="501"/>
      <c r="CM145" s="501"/>
      <c r="CN145" s="501"/>
      <c r="CP145" s="495" t="s">
        <v>68</v>
      </c>
      <c r="CQ145" s="495"/>
      <c r="CR145" s="495"/>
      <c r="CS145" s="495"/>
      <c r="CT145" s="495"/>
      <c r="CU145" s="495"/>
      <c r="CV145" s="495"/>
      <c r="CW145" s="495"/>
      <c r="CX145" s="495"/>
      <c r="CY145" s="159"/>
      <c r="CZ145" s="159"/>
      <c r="DA145" s="105"/>
      <c r="DB145" s="319"/>
      <c r="DC145" s="319"/>
      <c r="DD145" s="319"/>
    </row>
    <row r="146" spans="2:119" ht="15" customHeight="1" x14ac:dyDescent="0.25">
      <c r="B146" s="92"/>
      <c r="C146" s="94"/>
      <c r="D146" s="325" t="s">
        <v>224</v>
      </c>
      <c r="E146" s="92"/>
      <c r="F146" s="326">
        <f t="shared" ref="F146:G146" si="6">(F134*2)+F136+F139+(F141)</f>
        <v>336</v>
      </c>
      <c r="G146" s="326">
        <f t="shared" si="6"/>
        <v>0</v>
      </c>
      <c r="H146" s="321">
        <f>(H134*2)+H136+H139+(H141)</f>
        <v>368</v>
      </c>
      <c r="I146" s="321">
        <f>(I134*2)+I136+I139+(I141)</f>
        <v>292</v>
      </c>
      <c r="J146" s="94"/>
      <c r="K146" s="94"/>
      <c r="L146" s="94"/>
      <c r="M146" s="92"/>
      <c r="N146" s="92"/>
      <c r="O146" s="92"/>
      <c r="P146" s="92"/>
      <c r="Q146" s="92"/>
      <c r="R146" s="92"/>
      <c r="S146" s="92"/>
      <c r="T146" s="92"/>
      <c r="U146" s="92"/>
      <c r="V146" s="92"/>
      <c r="W146" s="92"/>
      <c r="X146" s="92"/>
      <c r="Y146" s="92"/>
      <c r="Z146" s="92"/>
      <c r="AA146" s="92"/>
      <c r="AB146" s="92"/>
      <c r="AC146" s="92"/>
      <c r="AD146" s="92"/>
      <c r="AE146" s="92"/>
      <c r="AF146" s="92"/>
      <c r="AG146" s="92"/>
      <c r="AH146" s="92"/>
      <c r="AI146" s="92"/>
      <c r="AJ146" s="92"/>
      <c r="AK146" s="92"/>
      <c r="AL146" s="92"/>
      <c r="AM146" s="92"/>
      <c r="AN146" s="92"/>
      <c r="AO146" s="92"/>
      <c r="AP146" s="92"/>
      <c r="CH146" s="5"/>
      <c r="CI146" s="9"/>
      <c r="CJ146" s="501"/>
      <c r="CK146" s="140">
        <f>IF(H37&lt;3,       0,         IF(CS149=0,         0,          IF(CS154=0,          0,          CS149*CS154)))</f>
        <v>0</v>
      </c>
      <c r="CL146" s="272">
        <f>CK146*CE93</f>
        <v>0</v>
      </c>
      <c r="CM146" s="272">
        <f>CK146*CC93</f>
        <v>0</v>
      </c>
      <c r="CN146" s="138">
        <f>CL146+CM146</f>
        <v>0</v>
      </c>
      <c r="CP146" s="496" t="s">
        <v>72</v>
      </c>
      <c r="CQ146" s="496" t="s">
        <v>226</v>
      </c>
      <c r="CR146" s="496" t="s">
        <v>73</v>
      </c>
      <c r="CS146" s="498" t="s">
        <v>74</v>
      </c>
      <c r="CT146" s="498" t="s">
        <v>75</v>
      </c>
      <c r="CU146" s="498"/>
      <c r="CV146" s="498" t="s">
        <v>76</v>
      </c>
      <c r="CW146" s="495"/>
      <c r="CX146" s="496" t="s">
        <v>78</v>
      </c>
      <c r="CY146" s="496"/>
      <c r="CZ146" s="496"/>
      <c r="DA146" s="105"/>
      <c r="DB146" s="319"/>
      <c r="DC146" s="319"/>
      <c r="DD146" s="319"/>
    </row>
    <row r="147" spans="2:119" ht="15" customHeight="1" x14ac:dyDescent="0.25">
      <c r="B147" s="92"/>
      <c r="C147" s="94"/>
      <c r="D147" s="325" t="s">
        <v>227</v>
      </c>
      <c r="E147" s="92"/>
      <c r="F147" s="326">
        <f t="shared" ref="F147:G147" si="7">(F134*3)+F135+F138+(F141*2)</f>
        <v>102</v>
      </c>
      <c r="G147" s="326">
        <f t="shared" si="7"/>
        <v>0</v>
      </c>
      <c r="H147" s="321">
        <f>(H134*3)+H135+H138+(H141*2)</f>
        <v>150</v>
      </c>
      <c r="I147" s="321">
        <f>(I134*3)+I135+I138+(I141*2)</f>
        <v>187</v>
      </c>
      <c r="J147" s="94"/>
      <c r="K147" s="94"/>
      <c r="L147" s="94"/>
      <c r="M147" s="92"/>
      <c r="N147" s="92"/>
      <c r="O147" s="92"/>
      <c r="P147" s="92"/>
      <c r="Q147" s="92"/>
      <c r="R147" s="92"/>
      <c r="S147" s="92"/>
      <c r="T147" s="92"/>
      <c r="U147" s="92"/>
      <c r="V147" s="92"/>
      <c r="W147" s="92"/>
      <c r="X147" s="92"/>
      <c r="Y147" s="92"/>
      <c r="Z147" s="92"/>
      <c r="AA147" s="92"/>
      <c r="AB147" s="92"/>
      <c r="AC147" s="92"/>
      <c r="AD147" s="92"/>
      <c r="AE147" s="92"/>
      <c r="AF147" s="92"/>
      <c r="AG147" s="92"/>
      <c r="AH147" s="92"/>
      <c r="AI147" s="92"/>
      <c r="AJ147" s="92"/>
      <c r="AK147" s="92"/>
      <c r="AL147" s="92"/>
      <c r="AM147" s="92"/>
      <c r="AN147" s="92"/>
      <c r="AO147" s="92"/>
      <c r="AP147" s="92"/>
      <c r="CH147" s="5"/>
      <c r="CI147" s="9"/>
      <c r="CJ147" s="276" t="s">
        <v>80</v>
      </c>
      <c r="CK147" s="289">
        <f>CK134+CK138+CK142+CK146</f>
        <v>0</v>
      </c>
      <c r="CL147" s="289">
        <f t="shared" ref="CL147:CN147" si="8">CL134+CL138+CL142+CL146</f>
        <v>0</v>
      </c>
      <c r="CM147" s="289">
        <f t="shared" si="8"/>
        <v>0</v>
      </c>
      <c r="CN147" s="289">
        <f t="shared" si="8"/>
        <v>0</v>
      </c>
      <c r="CP147" s="496"/>
      <c r="CQ147" s="496"/>
      <c r="CR147" s="496"/>
      <c r="CS147" s="498"/>
      <c r="CT147" s="498"/>
      <c r="CU147" s="498"/>
      <c r="CV147" s="498"/>
      <c r="CW147" s="495"/>
      <c r="CX147" s="496"/>
      <c r="CY147" s="496"/>
      <c r="CZ147" s="496"/>
      <c r="DA147" s="105"/>
      <c r="DB147" s="319"/>
      <c r="DC147" s="319"/>
      <c r="DD147" s="319"/>
    </row>
    <row r="148" spans="2:119" ht="25.5" customHeight="1" thickBot="1" x14ac:dyDescent="0.3">
      <c r="B148" s="92"/>
      <c r="C148" s="94"/>
      <c r="D148" s="325" t="s">
        <v>224</v>
      </c>
      <c r="E148" s="92"/>
      <c r="F148" s="326">
        <f t="shared" ref="F148:G148" si="9">(F134*3)+F136+F139+(F141*2)</f>
        <v>366</v>
      </c>
      <c r="G148" s="326">
        <f t="shared" si="9"/>
        <v>0</v>
      </c>
      <c r="H148" s="321">
        <f>(H134*3)+H136+H139+(H141*2)</f>
        <v>414</v>
      </c>
      <c r="I148" s="321">
        <f>(I134*3)+I136+I139+(I141*2)</f>
        <v>348</v>
      </c>
      <c r="J148" s="94"/>
      <c r="K148" s="94"/>
      <c r="L148" s="94"/>
      <c r="M148" s="92"/>
      <c r="N148" s="92"/>
      <c r="O148" s="92"/>
      <c r="P148" s="92"/>
      <c r="Q148" s="92"/>
      <c r="R148" s="92"/>
      <c r="S148" s="92"/>
      <c r="T148" s="92"/>
      <c r="U148" s="92"/>
      <c r="V148" s="92"/>
      <c r="W148" s="92"/>
      <c r="X148" s="92"/>
      <c r="Y148" s="92"/>
      <c r="Z148" s="92"/>
      <c r="AA148" s="92"/>
      <c r="AB148" s="92"/>
      <c r="AC148" s="92"/>
      <c r="AD148" s="92"/>
      <c r="AE148" s="92"/>
      <c r="AF148" s="92"/>
      <c r="AG148" s="92"/>
      <c r="AH148" s="92"/>
      <c r="AI148" s="92"/>
      <c r="AJ148" s="92"/>
      <c r="AK148" s="92"/>
      <c r="AL148" s="92"/>
      <c r="AM148" s="92"/>
      <c r="AN148" s="92"/>
      <c r="AO148" s="92"/>
      <c r="AP148" s="92"/>
      <c r="CH148" s="5"/>
      <c r="CI148" s="9"/>
      <c r="CJ148" s="107"/>
      <c r="CK148" s="10"/>
      <c r="CL148" s="95"/>
      <c r="CM148" s="95"/>
      <c r="CN148" s="104"/>
      <c r="CP148" s="496"/>
      <c r="CQ148" s="496"/>
      <c r="CR148" s="496"/>
      <c r="CS148" s="498"/>
      <c r="CT148" s="498"/>
      <c r="CU148" s="498"/>
      <c r="CV148" s="498"/>
      <c r="CW148" s="495"/>
      <c r="CX148" s="496" t="str">
        <f>IF(CT2=1,      "Maximum Number of Rows",                 "Minimum Number of Rows")</f>
        <v>Minimum Number of Rows</v>
      </c>
      <c r="CY148" s="496"/>
      <c r="CZ148" s="498" t="str">
        <f>IF(CT2=1,             "N/A",                "Maximum Number of Chambers per Full Row")</f>
        <v>Maximum Number of Chambers per Full Row</v>
      </c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319"/>
      <c r="DM148" s="319"/>
      <c r="DN148" s="319"/>
      <c r="DO148" s="319"/>
    </row>
    <row r="149" spans="2:119" ht="15.75" customHeight="1" x14ac:dyDescent="0.25">
      <c r="B149" s="92"/>
      <c r="C149" s="92"/>
      <c r="D149" s="325"/>
      <c r="E149" s="92"/>
      <c r="F149" s="326"/>
      <c r="G149" s="326"/>
      <c r="H149" s="321"/>
      <c r="I149" s="321"/>
      <c r="J149" s="92"/>
      <c r="K149" s="92"/>
      <c r="L149" s="92"/>
      <c r="M149" s="92"/>
      <c r="N149" s="92"/>
      <c r="O149" s="92"/>
      <c r="P149" s="92"/>
      <c r="Q149" s="92"/>
      <c r="R149" s="92"/>
      <c r="S149" s="92"/>
      <c r="T149" s="92"/>
      <c r="U149" s="92"/>
      <c r="V149" s="92"/>
      <c r="W149" s="92"/>
      <c r="X149" s="92"/>
      <c r="Y149" s="92"/>
      <c r="Z149" s="92"/>
      <c r="AA149" s="92"/>
      <c r="AB149" s="92"/>
      <c r="AC149" s="92"/>
      <c r="AD149" s="92"/>
      <c r="AE149" s="92"/>
      <c r="AF149" s="92"/>
      <c r="AG149" s="92"/>
      <c r="AH149" s="92"/>
      <c r="AI149" s="92"/>
      <c r="AJ149" s="92"/>
      <c r="AK149" s="92"/>
      <c r="AL149" s="92"/>
      <c r="AM149" s="92"/>
      <c r="AN149" s="92"/>
      <c r="AO149" s="92"/>
      <c r="AP149" s="92"/>
      <c r="BA149" s="15"/>
      <c r="BW149" s="284" t="s">
        <v>187</v>
      </c>
      <c r="BX149" s="344"/>
      <c r="BY149" s="344"/>
      <c r="BZ149" s="344"/>
      <c r="CA149" s="344"/>
      <c r="CB149" s="344"/>
      <c r="CC149" s="344"/>
      <c r="CD149" s="345"/>
      <c r="CH149" s="5"/>
      <c r="CI149" s="9"/>
      <c r="CJ149" s="503" t="str">
        <f>IF($H$23=1,"Max suggested number of rows","Min suggested number of rows")</f>
        <v>Min suggested number of rows</v>
      </c>
      <c r="CK149" s="503"/>
      <c r="CL149" s="503"/>
      <c r="CM149" s="503"/>
      <c r="CN149" s="272">
        <f>IF(H37&lt;3,    0,       IF(CT2=1,        CW136,           CT143))</f>
        <v>0</v>
      </c>
      <c r="CP149" s="495">
        <f>CP136</f>
        <v>0</v>
      </c>
      <c r="CQ149" s="495">
        <f>CN150</f>
        <v>0</v>
      </c>
      <c r="CR149" s="495">
        <f>IF(CQ149=1,       1,        2)</f>
        <v>2</v>
      </c>
      <c r="CS149" s="493">
        <f>IF(CQ149&lt;3,      0,        CQ149-2)</f>
        <v>0</v>
      </c>
      <c r="CT149" s="493">
        <f>IF(CQ149=1,       IF(CP149&lt;=BY35,       BY35,      CF35/2),                     IF(CQ149=2,       IF(CP149&lt;=CC35,        CC35,   2*CA93),                  IF(CP149&lt;=(CC35+(CS149*CG41)),                          CC35,         2*CA93)))</f>
        <v>19.571999999999989</v>
      </c>
      <c r="CU149" s="493"/>
      <c r="CV149" s="493">
        <f>IF(CS149=0,           0,        IF((CP149-CT149)&lt;=(CS149*CG41),             CS149*CG41,   CS149*CB93))</f>
        <v>0</v>
      </c>
      <c r="CW149" s="495"/>
      <c r="CX149" s="496"/>
      <c r="CY149" s="496"/>
      <c r="CZ149" s="498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319"/>
      <c r="DM149" s="319"/>
      <c r="DN149" s="319"/>
      <c r="DO149" s="319"/>
    </row>
    <row r="150" spans="2:119" ht="15" customHeight="1" x14ac:dyDescent="0.25">
      <c r="B150" s="92"/>
      <c r="C150" s="92"/>
      <c r="D150" s="325"/>
      <c r="E150" s="92"/>
      <c r="F150" s="326">
        <v>457</v>
      </c>
      <c r="G150" s="326"/>
      <c r="H150" s="321">
        <v>864</v>
      </c>
      <c r="I150" s="321">
        <v>1117</v>
      </c>
      <c r="J150" s="92"/>
      <c r="K150" s="92"/>
      <c r="L150" s="92"/>
      <c r="M150" s="92"/>
      <c r="N150" s="92"/>
      <c r="O150" s="92"/>
      <c r="P150" s="92"/>
      <c r="Q150" s="92"/>
      <c r="R150" s="92"/>
      <c r="S150" s="92"/>
      <c r="T150" s="92"/>
      <c r="U150" s="92"/>
      <c r="V150" s="92"/>
      <c r="W150" s="92"/>
      <c r="X150" s="92"/>
      <c r="Y150" s="92"/>
      <c r="Z150" s="92"/>
      <c r="AA150" s="92"/>
      <c r="AB150" s="92"/>
      <c r="AC150" s="92"/>
      <c r="AD150" s="92"/>
      <c r="AE150" s="92"/>
      <c r="AF150" s="92"/>
      <c r="AG150" s="92"/>
      <c r="AH150" s="92"/>
      <c r="AI150" s="92"/>
      <c r="AJ150" s="92"/>
      <c r="AK150" s="92"/>
      <c r="AL150" s="92"/>
      <c r="AM150" s="92"/>
      <c r="AN150" s="92"/>
      <c r="AO150" s="92"/>
      <c r="AP150" s="92"/>
      <c r="BW150" s="284"/>
      <c r="BX150" t="s">
        <v>16</v>
      </c>
      <c r="BY150"/>
      <c r="BZ150" t="s">
        <v>17</v>
      </c>
      <c r="CA150"/>
      <c r="CB150" s="439" t="s">
        <v>18</v>
      </c>
      <c r="CC150" s="439"/>
      <c r="CD150" s="440"/>
      <c r="CH150" s="6"/>
      <c r="CI150" s="9"/>
      <c r="CJ150" s="154" t="str">
        <f>IF(H37=3,"Chosen number of rows","Default number of rows")</f>
        <v>Default number of rows</v>
      </c>
      <c r="CK150" s="154"/>
      <c r="CL150" s="154"/>
      <c r="CM150" s="154"/>
      <c r="CN150" s="272">
        <f>IF(H37&lt;3,        0,          IF(H37=3,     H41,         CX150))</f>
        <v>0</v>
      </c>
      <c r="CP150" s="495"/>
      <c r="CQ150" s="495"/>
      <c r="CR150" s="495"/>
      <c r="CS150" s="493"/>
      <c r="CT150" s="493"/>
      <c r="CU150" s="493"/>
      <c r="CV150" s="493"/>
      <c r="CW150" s="495"/>
      <c r="CX150" s="495">
        <f>IF(CT2=1,            CW136,        CT143)</f>
        <v>1</v>
      </c>
      <c r="CY150" s="495"/>
      <c r="CZ150" s="497">
        <f>IF(CT2=1,         0,                             CW136)</f>
        <v>1</v>
      </c>
      <c r="DA150" s="3"/>
      <c r="DB150" s="3"/>
      <c r="DC150" s="3"/>
      <c r="DD150" s="3"/>
      <c r="DE150" s="3"/>
      <c r="DF150" s="3"/>
      <c r="DG150" s="3"/>
      <c r="DH150" s="3"/>
      <c r="DI150" s="3"/>
      <c r="DJ150" s="3"/>
      <c r="DK150" s="3"/>
      <c r="DL150" s="286"/>
      <c r="DM150" s="319"/>
      <c r="DN150" s="319"/>
      <c r="DO150" s="319"/>
    </row>
    <row r="151" spans="2:119" ht="15" customHeight="1" x14ac:dyDescent="0.25">
      <c r="B151" s="92"/>
      <c r="C151" s="92"/>
      <c r="D151" s="325" t="s">
        <v>211</v>
      </c>
      <c r="E151" s="92"/>
      <c r="F151" s="326">
        <v>150</v>
      </c>
      <c r="G151" s="326"/>
      <c r="H151" s="321">
        <v>150</v>
      </c>
      <c r="I151" s="321">
        <v>225</v>
      </c>
      <c r="J151" s="92"/>
      <c r="K151" s="92"/>
      <c r="L151" s="92"/>
      <c r="M151" s="92"/>
      <c r="N151" s="92"/>
      <c r="O151" s="92"/>
      <c r="P151" s="92"/>
      <c r="Q151" s="92"/>
      <c r="R151" s="92"/>
      <c r="S151" s="92"/>
      <c r="T151" s="92"/>
      <c r="U151" s="92"/>
      <c r="V151" s="92"/>
      <c r="W151" s="92"/>
      <c r="X151" s="92"/>
      <c r="Y151" s="92"/>
      <c r="Z151" s="92"/>
      <c r="AA151" s="92"/>
      <c r="AB151" s="92"/>
      <c r="AC151" s="92"/>
      <c r="AD151" s="92"/>
      <c r="AE151" s="92"/>
      <c r="AF151" s="92"/>
      <c r="AG151" s="92"/>
      <c r="AH151" s="92"/>
      <c r="AI151" s="92"/>
      <c r="AJ151" s="92"/>
      <c r="AK151" s="92"/>
      <c r="AL151" s="92"/>
      <c r="AM151" s="92"/>
      <c r="AN151" s="92"/>
      <c r="AO151" s="92"/>
      <c r="AP151" s="92"/>
      <c r="BW151" s="284"/>
      <c r="BX151" s="357" t="s">
        <v>54</v>
      </c>
      <c r="BY151" s="357" t="s">
        <v>228</v>
      </c>
      <c r="BZ151" s="357" t="s">
        <v>54</v>
      </c>
      <c r="CA151" s="357" t="s">
        <v>228</v>
      </c>
      <c r="CB151" t="s">
        <v>54</v>
      </c>
      <c r="CC151" t="s">
        <v>228</v>
      </c>
      <c r="CD151" s="346"/>
      <c r="CH151" s="6"/>
      <c r="CI151" s="9"/>
      <c r="CJ151" s="154" t="str">
        <f>IF($H$23=1,"Min number of chambers per full Row","Max number of chambers per Row")</f>
        <v>Max number of chambers per Row</v>
      </c>
      <c r="CK151" s="154"/>
      <c r="CL151" s="154"/>
      <c r="CM151" s="154"/>
      <c r="CN151" s="272">
        <f>IF(H37&lt;3,         0,          CU154)</f>
        <v>0</v>
      </c>
      <c r="CP151" s="493" t="s">
        <v>83</v>
      </c>
      <c r="CQ151" s="493"/>
      <c r="CR151" s="498" t="s">
        <v>84</v>
      </c>
      <c r="CS151" s="498" t="s">
        <v>85</v>
      </c>
      <c r="CT151" s="498"/>
      <c r="CU151" s="496" t="s">
        <v>86</v>
      </c>
      <c r="CV151" s="496"/>
      <c r="CW151" s="495"/>
      <c r="CX151" s="495"/>
      <c r="CY151" s="495"/>
      <c r="CZ151" s="497"/>
      <c r="DA151" s="6"/>
      <c r="DB151" s="6"/>
      <c r="DC151" s="6"/>
      <c r="DD151" s="6"/>
      <c r="DE151" s="6"/>
      <c r="DF151" s="6"/>
      <c r="DG151" s="6"/>
      <c r="DH151" s="6"/>
      <c r="DI151" s="6"/>
      <c r="DJ151" s="6"/>
      <c r="DK151" s="6"/>
      <c r="DL151" s="286"/>
      <c r="DM151" s="319"/>
      <c r="DN151" s="319"/>
      <c r="DO151" s="319"/>
    </row>
    <row r="152" spans="2:119" x14ac:dyDescent="0.25">
      <c r="B152" s="92"/>
      <c r="C152" s="92"/>
      <c r="D152" s="325" t="s">
        <v>213</v>
      </c>
      <c r="E152" s="92"/>
      <c r="F152" s="326">
        <v>2400</v>
      </c>
      <c r="G152" s="326"/>
      <c r="H152" s="321">
        <v>2400</v>
      </c>
      <c r="I152" s="321">
        <v>2400</v>
      </c>
      <c r="J152" s="92"/>
      <c r="K152" s="92"/>
      <c r="L152" s="92"/>
      <c r="M152" s="92"/>
      <c r="N152" s="92"/>
      <c r="O152" s="92"/>
      <c r="P152" s="92"/>
      <c r="Q152" s="92"/>
      <c r="R152" s="92"/>
      <c r="S152" s="92"/>
      <c r="T152" s="92"/>
      <c r="U152" s="92"/>
      <c r="V152" s="92"/>
      <c r="W152" s="92"/>
      <c r="X152" s="92"/>
      <c r="Y152" s="92"/>
      <c r="Z152" s="92"/>
      <c r="AA152" s="92"/>
      <c r="AB152" s="92"/>
      <c r="AC152" s="92"/>
      <c r="AD152" s="92"/>
      <c r="AE152" s="92"/>
      <c r="AF152" s="92"/>
      <c r="AG152" s="92"/>
      <c r="AH152" s="92"/>
      <c r="AI152" s="92"/>
      <c r="AJ152" s="92"/>
      <c r="AK152" s="92"/>
      <c r="AL152" s="92"/>
      <c r="AM152" s="92"/>
      <c r="AN152" s="92"/>
      <c r="AO152" s="92"/>
      <c r="AP152" s="92"/>
      <c r="BW152" s="284" t="s">
        <v>63</v>
      </c>
      <c r="BX152" s="357">
        <v>101</v>
      </c>
      <c r="BY152" s="357">
        <f t="shared" ref="BY152:CA152" si="10">BX152*25.4</f>
        <v>2565.3999999999996</v>
      </c>
      <c r="BZ152" s="357">
        <v>101</v>
      </c>
      <c r="CA152" s="357">
        <f t="shared" si="10"/>
        <v>2565.3999999999996</v>
      </c>
      <c r="CB152"/>
      <c r="CC152"/>
      <c r="CD152" s="346"/>
      <c r="CH152" s="6"/>
      <c r="CI152" s="9"/>
      <c r="CJ152" s="154" t="s">
        <v>105</v>
      </c>
      <c r="CK152" s="154"/>
      <c r="CL152" s="154"/>
      <c r="CM152" s="154"/>
      <c r="CN152" s="272">
        <f>IF(H37&lt;3,0,"all")</f>
        <v>0</v>
      </c>
      <c r="CP152" s="493"/>
      <c r="CQ152" s="493"/>
      <c r="CR152" s="498"/>
      <c r="CS152" s="498"/>
      <c r="CT152" s="498"/>
      <c r="CU152" s="496"/>
      <c r="CV152" s="496"/>
      <c r="CW152" s="495"/>
      <c r="CX152" s="496" t="s">
        <v>94</v>
      </c>
      <c r="CY152" s="496"/>
      <c r="CZ152" s="496"/>
      <c r="DA152" s="6"/>
      <c r="DB152" s="6"/>
      <c r="DC152" s="6"/>
      <c r="DD152" s="6"/>
      <c r="DE152" s="6"/>
      <c r="DF152" s="6"/>
      <c r="DG152" s="6"/>
      <c r="DH152" s="6"/>
      <c r="DI152" s="6"/>
      <c r="DJ152" s="6"/>
      <c r="DK152" s="6"/>
      <c r="DL152" s="10"/>
      <c r="DM152" s="319"/>
      <c r="DN152" s="319"/>
      <c r="DO152" s="319"/>
    </row>
    <row r="153" spans="2:119" ht="15.75" x14ac:dyDescent="0.25">
      <c r="B153" s="92"/>
      <c r="C153" s="92"/>
      <c r="D153" s="325"/>
      <c r="E153" s="92"/>
      <c r="F153" s="326"/>
      <c r="G153" s="326"/>
      <c r="H153" s="321"/>
      <c r="I153" s="321"/>
      <c r="J153" s="92"/>
      <c r="K153" s="92"/>
      <c r="L153" s="92"/>
      <c r="M153" s="92"/>
      <c r="N153" s="92"/>
      <c r="O153" s="92"/>
      <c r="P153" s="92"/>
      <c r="Q153" s="92"/>
      <c r="R153" s="92"/>
      <c r="S153" s="92"/>
      <c r="T153" s="92"/>
      <c r="U153" s="92"/>
      <c r="V153" s="92"/>
      <c r="W153" s="92"/>
      <c r="X153" s="92"/>
      <c r="Y153" s="92"/>
      <c r="Z153" s="92"/>
      <c r="AA153" s="92"/>
      <c r="AB153" s="92"/>
      <c r="AC153" s="92"/>
      <c r="AD153" s="92"/>
      <c r="AE153" s="92"/>
      <c r="AF153" s="92"/>
      <c r="AG153" s="92"/>
      <c r="AH153" s="92"/>
      <c r="AI153" s="92"/>
      <c r="AJ153" s="92"/>
      <c r="AK153" s="92"/>
      <c r="AL153" s="92"/>
      <c r="AM153" s="92"/>
      <c r="AN153" s="92"/>
      <c r="AO153" s="92"/>
      <c r="AP153" s="92"/>
      <c r="BW153" s="284" t="s">
        <v>229</v>
      </c>
      <c r="BX153" s="357">
        <v>103</v>
      </c>
      <c r="BY153" s="357">
        <f>BX153*25.4</f>
        <v>2616.1999999999998</v>
      </c>
      <c r="BZ153" s="357">
        <v>103</v>
      </c>
      <c r="CA153" s="357">
        <f>BZ153*25.4</f>
        <v>2616.1999999999998</v>
      </c>
      <c r="CB153"/>
      <c r="CC153"/>
      <c r="CD153" s="346"/>
      <c r="CH153" s="6"/>
      <c r="CI153" s="9"/>
      <c r="CJ153" s="155" t="s">
        <v>230</v>
      </c>
      <c r="CK153" s="155"/>
      <c r="CL153" s="155"/>
      <c r="CM153" s="155"/>
      <c r="CN153" s="156">
        <f>CN134+CN138+CN142+CN146</f>
        <v>0</v>
      </c>
      <c r="CP153" s="493"/>
      <c r="CQ153" s="493"/>
      <c r="CR153" s="498"/>
      <c r="CS153" s="498"/>
      <c r="CT153" s="498"/>
      <c r="CU153" s="496"/>
      <c r="CV153" s="496"/>
      <c r="CW153" s="495"/>
      <c r="CX153" s="496"/>
      <c r="CY153" s="496"/>
      <c r="CZ153" s="496"/>
      <c r="DA153" s="9"/>
      <c r="DB153" s="327"/>
      <c r="DC153" s="9"/>
      <c r="DD153" s="1"/>
      <c r="DE153" s="1"/>
      <c r="DF153" s="1"/>
      <c r="DG153" s="1"/>
      <c r="DH153" s="1"/>
      <c r="DI153" s="1"/>
      <c r="DJ153" s="1"/>
      <c r="DK153" s="1"/>
      <c r="DL153" s="319"/>
      <c r="DN153" s="319"/>
      <c r="DO153" s="319"/>
    </row>
    <row r="154" spans="2:119" ht="15" customHeight="1" x14ac:dyDescent="0.25">
      <c r="B154" s="92"/>
      <c r="C154" s="92"/>
      <c r="D154" s="325" t="s">
        <v>216</v>
      </c>
      <c r="E154" s="92"/>
      <c r="F154" s="326">
        <v>450</v>
      </c>
      <c r="G154" s="326"/>
      <c r="H154" s="321">
        <v>450</v>
      </c>
      <c r="I154" s="321">
        <v>550</v>
      </c>
      <c r="J154" s="92"/>
      <c r="K154" s="92"/>
      <c r="L154" s="92"/>
      <c r="M154" s="92"/>
      <c r="N154" s="92"/>
      <c r="O154" s="92"/>
      <c r="P154" s="92"/>
      <c r="Q154" s="92"/>
      <c r="R154" s="92"/>
      <c r="S154" s="92"/>
      <c r="T154" s="92"/>
      <c r="U154" s="92"/>
      <c r="V154" s="92"/>
      <c r="W154" s="92"/>
      <c r="X154" s="92"/>
      <c r="Y154" s="92"/>
      <c r="Z154" s="92"/>
      <c r="AA154" s="92"/>
      <c r="AB154" s="92"/>
      <c r="AC154" s="92"/>
      <c r="AD154" s="92"/>
      <c r="AE154" s="92"/>
      <c r="AF154" s="92"/>
      <c r="AG154" s="92"/>
      <c r="AH154" s="92"/>
      <c r="AI154" s="92"/>
      <c r="AJ154" s="92"/>
      <c r="AK154" s="92"/>
      <c r="AL154" s="92"/>
      <c r="AM154" s="92"/>
      <c r="AN154" s="92"/>
      <c r="AO154" s="92"/>
      <c r="AP154" s="92"/>
      <c r="BW154" s="284" t="s">
        <v>231</v>
      </c>
      <c r="BX154" s="357">
        <v>87</v>
      </c>
      <c r="BY154" s="357">
        <f>BX154*25.4</f>
        <v>2209.7999999999997</v>
      </c>
      <c r="BZ154" s="357">
        <v>87</v>
      </c>
      <c r="CA154" s="357">
        <f>BZ154*25.4</f>
        <v>2209.7999999999997</v>
      </c>
      <c r="CB154"/>
      <c r="CC154"/>
      <c r="CD154" s="346"/>
      <c r="CH154" s="6"/>
      <c r="CI154" s="9"/>
      <c r="CJ154" s="157" t="s">
        <v>113</v>
      </c>
      <c r="CK154" s="157"/>
      <c r="CL154" s="157"/>
      <c r="CM154" s="157"/>
      <c r="CN154" s="139">
        <f>IF(H37&lt;3,      0,        IF(H15="Imperial",       IF(CN151=1,           ((BY5+H55+H55)/12),                    IF(CN151=2,              (2*BY92)/12,       ((((CN151-2)*CD92)+(2*BY92))/12))),                                                                      IF(CN151=1,                                                                                           ((BY5+H55+H55)/1000),                   IF(CN151=2,      ((2*BY92)/1000),         ((((CN151-2)*CD92)+(2*BY92))/1000)))))</f>
        <v>0</v>
      </c>
      <c r="CP154" s="493"/>
      <c r="CQ154" s="493"/>
      <c r="CR154" s="495">
        <f>IF(CQ149=1,         IF(CP149&lt;=BY35,       1,        2),                 IF(CQ149=2,              IF(CP149&lt;=CC35,            1,           2),                IF(CP149&lt;=(CC35+(CS149*CG41)),        1,      2)))</f>
        <v>1</v>
      </c>
      <c r="CS154" s="495">
        <f>IF(CW136=0,   0,    IF(AND(CQ149=1,CP149&lt;=CF35),        0,             IF(CP149&lt;=(2*(CT149+CV149)),     0,      IF(H15="Imperial",           IF(CQ149=1,          ROUNDUP((CP149-(CF35))/(CF93+((((H55-(H45/2))*CD89*CD92)/1728)*(H33/100))),0),        IF(CQ149=2,             ROUNDUP((CP149-(2*CT149))/(2*CF93),0),            ROUNDUP((CP149-(2*(CT149+CV149)))/((2*CF93)+(CS149*CG93)),0))),                                                                                                                                                                                                           IF(CQ149=1,                        ROUNDUP((CP149-(CF35))/(CF93+((((H55-(H45/2))*CD89*CD92)/1000000000)*(H33/100))),0),                                                                                                                                                             IF(CQ149=2,                        ROUNDUP((CP149-(2*CT149))/(2*CF93),0),          ROUNDUP((CP149-(2*(CT149+CV149)))/((2*CF93)+(CS149*CG93)),0)))))))</f>
        <v>0</v>
      </c>
      <c r="CT154" s="495"/>
      <c r="CU154" s="495">
        <f>CR154+CS154</f>
        <v>1</v>
      </c>
      <c r="CV154" s="495"/>
      <c r="CW154" s="495"/>
      <c r="CX154" s="498" t="s">
        <v>101</v>
      </c>
      <c r="CY154" s="498"/>
      <c r="CZ154" s="539" t="s">
        <v>102</v>
      </c>
      <c r="DA154" s="9"/>
      <c r="DB154" s="327"/>
      <c r="DC154" s="9"/>
      <c r="DD154" s="1"/>
      <c r="DE154" s="1"/>
      <c r="DF154" s="1"/>
      <c r="DG154" s="1"/>
      <c r="DH154" s="1"/>
      <c r="DI154" s="1"/>
      <c r="DJ154" s="1"/>
      <c r="DK154" s="1"/>
      <c r="DL154" s="319"/>
      <c r="DN154" s="319"/>
      <c r="DO154" s="319"/>
    </row>
    <row r="155" spans="2:119" ht="15" customHeight="1" x14ac:dyDescent="0.25">
      <c r="B155" s="92"/>
      <c r="C155" s="92"/>
      <c r="D155" s="325" t="s">
        <v>217</v>
      </c>
      <c r="E155" s="92"/>
      <c r="F155" s="326">
        <v>4875</v>
      </c>
      <c r="G155" s="328"/>
      <c r="H155" s="329">
        <v>4875</v>
      </c>
      <c r="I155" s="329">
        <v>2435</v>
      </c>
      <c r="J155" s="92"/>
      <c r="K155" s="92"/>
      <c r="L155" s="92"/>
      <c r="M155" s="92"/>
      <c r="N155" s="92"/>
      <c r="O155" s="92"/>
      <c r="P155" s="92"/>
      <c r="Q155" s="92"/>
      <c r="R155" s="92"/>
      <c r="S155" s="92"/>
      <c r="T155" s="92"/>
      <c r="U155" s="92"/>
      <c r="V155" s="92"/>
      <c r="W155" s="92"/>
      <c r="X155" s="92"/>
      <c r="Y155" s="92"/>
      <c r="Z155" s="92"/>
      <c r="AA155" s="92"/>
      <c r="AB155" s="92"/>
      <c r="AC155" s="92"/>
      <c r="AD155" s="92"/>
      <c r="AE155" s="92"/>
      <c r="AF155" s="92"/>
      <c r="AG155" s="92"/>
      <c r="AH155" s="92"/>
      <c r="AI155" s="92"/>
      <c r="AJ155" s="92"/>
      <c r="AK155" s="92"/>
      <c r="AL155" s="92"/>
      <c r="AM155" s="92"/>
      <c r="AN155" s="92"/>
      <c r="AO155" s="92"/>
      <c r="AP155" s="92"/>
      <c r="BW155" s="284"/>
      <c r="BX155"/>
      <c r="BY155"/>
      <c r="BZ155"/>
      <c r="CA155"/>
      <c r="CB155"/>
      <c r="CC155"/>
      <c r="CD155" s="346"/>
      <c r="CH155" s="6"/>
      <c r="CI155" s="9"/>
      <c r="CJ155" s="532" t="s">
        <v>114</v>
      </c>
      <c r="CK155" s="532"/>
      <c r="CL155" s="532"/>
      <c r="CM155" s="532"/>
      <c r="CN155" s="138">
        <f>IF(H37&lt;3,           0,          IF(H15="Imperial",          IF(CN150=1,       ((BY91+H55-(H45/2))/12),              IF(CN150=2,              (2*BY91)/12,         ((((CN150-2)*BZ91)+(2*BY91))/12))),                                                               IF(CN150=1,                                                                                            (BY91+H55-(H45/2))/1000,               IF(CN150=2,         ((2*BY91)/1000),       ((((CN150-2)*BZ91)+(2*BY91))/1000)))))</f>
        <v>0</v>
      </c>
      <c r="CP155" s="493"/>
      <c r="CQ155" s="493"/>
      <c r="CR155" s="495"/>
      <c r="CS155" s="495"/>
      <c r="CT155" s="495"/>
      <c r="CU155" s="495"/>
      <c r="CV155" s="495"/>
      <c r="CW155" s="495"/>
      <c r="CX155" s="498"/>
      <c r="CY155" s="498"/>
      <c r="CZ155" s="539"/>
      <c r="DA155" s="6"/>
      <c r="DB155" s="6"/>
      <c r="DC155" s="6"/>
      <c r="DD155" s="6"/>
      <c r="DE155" s="6"/>
      <c r="DF155" s="6"/>
      <c r="DG155" s="6"/>
      <c r="DH155" s="6"/>
      <c r="DI155" s="6"/>
      <c r="DJ155" s="6"/>
      <c r="DK155" s="3"/>
      <c r="DL155" s="319"/>
      <c r="DN155" s="319"/>
      <c r="DO155" s="319"/>
    </row>
    <row r="156" spans="2:119" ht="15" customHeight="1" x14ac:dyDescent="0.25">
      <c r="B156" s="92"/>
      <c r="C156" s="92"/>
      <c r="D156" s="325"/>
      <c r="E156" s="92"/>
      <c r="F156" s="326"/>
      <c r="G156" s="326"/>
      <c r="H156" s="321"/>
      <c r="I156" s="321"/>
      <c r="J156" s="92"/>
      <c r="K156" s="92"/>
      <c r="L156" s="92"/>
      <c r="M156" s="92"/>
      <c r="N156" s="92"/>
      <c r="O156" s="92"/>
      <c r="P156" s="92"/>
      <c r="Q156" s="92"/>
      <c r="R156" s="92"/>
      <c r="S156" s="92"/>
      <c r="T156" s="92"/>
      <c r="U156" s="92"/>
      <c r="V156" s="92"/>
      <c r="W156" s="92"/>
      <c r="X156" s="92"/>
      <c r="Y156" s="92"/>
      <c r="Z156" s="92"/>
      <c r="AA156" s="92"/>
      <c r="AB156" s="92"/>
      <c r="AC156" s="92"/>
      <c r="AD156" s="92"/>
      <c r="AE156" s="92"/>
      <c r="AF156" s="92"/>
      <c r="AG156" s="92"/>
      <c r="AH156" s="92"/>
      <c r="AI156" s="92"/>
      <c r="AJ156" s="92"/>
      <c r="AK156" s="92"/>
      <c r="AL156" s="92"/>
      <c r="AM156" s="92"/>
      <c r="AN156" s="92"/>
      <c r="AO156" s="92"/>
      <c r="AP156" s="92"/>
      <c r="BW156" s="284"/>
      <c r="BX156"/>
      <c r="BY156"/>
      <c r="BZ156"/>
      <c r="CA156"/>
      <c r="CB156"/>
      <c r="CC156"/>
      <c r="CD156" s="346"/>
      <c r="CH156" s="5"/>
      <c r="CI156" s="9"/>
      <c r="CJ156" s="261" t="s">
        <v>116</v>
      </c>
      <c r="CK156" s="147">
        <f>CL134+CL138+CL142+CL146</f>
        <v>0</v>
      </c>
      <c r="CL156" s="602" t="s">
        <v>117</v>
      </c>
      <c r="CM156" s="602"/>
      <c r="CN156" s="139">
        <f>CM134+CM138+CM142+CM146</f>
        <v>0</v>
      </c>
      <c r="CP156" s="128"/>
      <c r="CQ156" s="128"/>
      <c r="CR156" s="123"/>
      <c r="CS156" s="123"/>
      <c r="CT156" s="123"/>
      <c r="CU156" s="123"/>
      <c r="CV156" s="123"/>
      <c r="CW156" s="495"/>
      <c r="CX156" s="495">
        <f>IF(H37&lt;3,      0,          H41)</f>
        <v>0</v>
      </c>
      <c r="CY156" s="495"/>
      <c r="CZ156" s="497">
        <f>CU154</f>
        <v>1</v>
      </c>
      <c r="DA156" s="6"/>
      <c r="DB156" s="6"/>
      <c r="DC156" s="6"/>
      <c r="DD156" s="6"/>
      <c r="DE156" s="6"/>
      <c r="DF156" s="6"/>
      <c r="DG156" s="6"/>
      <c r="DH156" s="6"/>
      <c r="DI156" s="6"/>
      <c r="DJ156" s="6"/>
      <c r="DK156" s="249"/>
      <c r="DL156" s="319"/>
      <c r="DN156" s="319"/>
      <c r="DO156" s="319"/>
    </row>
    <row r="157" spans="2:119" x14ac:dyDescent="0.25">
      <c r="B157" s="92"/>
      <c r="C157" s="92"/>
      <c r="D157" s="325" t="s">
        <v>204</v>
      </c>
      <c r="E157" s="92"/>
      <c r="F157" s="326">
        <v>300</v>
      </c>
      <c r="G157" s="326"/>
      <c r="H157" s="321">
        <v>300</v>
      </c>
      <c r="I157" s="321">
        <v>300</v>
      </c>
      <c r="J157" s="92"/>
      <c r="K157" s="92"/>
      <c r="L157" s="92"/>
      <c r="M157" s="92"/>
      <c r="N157" s="92"/>
      <c r="O157" s="92"/>
      <c r="P157" s="92"/>
      <c r="Q157" s="92"/>
      <c r="R157" s="92"/>
      <c r="S157" s="92"/>
      <c r="T157" s="92"/>
      <c r="U157" s="92"/>
      <c r="V157" s="92"/>
      <c r="W157" s="92"/>
      <c r="X157" s="92"/>
      <c r="Y157" s="92"/>
      <c r="Z157" s="92"/>
      <c r="AA157" s="92"/>
      <c r="AB157" s="92"/>
      <c r="AC157" s="92"/>
      <c r="AD157" s="92"/>
      <c r="AE157" s="92"/>
      <c r="AF157" s="92"/>
      <c r="AG157" s="92"/>
      <c r="AH157" s="92"/>
      <c r="AI157" s="92"/>
      <c r="AJ157" s="92"/>
      <c r="AK157" s="92"/>
      <c r="AL157" s="92"/>
      <c r="AM157" s="92"/>
      <c r="AN157" s="92"/>
      <c r="AO157" s="92"/>
      <c r="AP157" s="92"/>
      <c r="BW157" s="284" t="s">
        <v>232</v>
      </c>
      <c r="BX157"/>
      <c r="BY157"/>
      <c r="BZ157"/>
      <c r="CA157"/>
      <c r="CB157"/>
      <c r="CC157"/>
      <c r="CD157" s="346"/>
      <c r="CH157" s="5"/>
      <c r="CI157" s="9"/>
      <c r="CJ157" s="147"/>
      <c r="CK157" s="147"/>
      <c r="CL157" s="147"/>
      <c r="CM157" s="147"/>
      <c r="CN157" s="272"/>
      <c r="CP157" s="522" t="s">
        <v>233</v>
      </c>
      <c r="CQ157" s="522"/>
      <c r="CR157" s="268">
        <f>CN150</f>
        <v>0</v>
      </c>
      <c r="CS157" s="123"/>
      <c r="CT157" s="123"/>
      <c r="CU157" s="123"/>
      <c r="CV157" s="123"/>
      <c r="CW157" s="495"/>
      <c r="CX157" s="495"/>
      <c r="CY157" s="495"/>
      <c r="CZ157" s="497"/>
      <c r="DA157" s="9"/>
      <c r="DB157" s="9"/>
      <c r="DC157" s="9"/>
      <c r="DD157" s="9"/>
      <c r="DE157" s="9"/>
      <c r="DF157" s="9"/>
      <c r="DG157" s="9"/>
      <c r="DH157" s="6"/>
      <c r="DI157" s="7"/>
      <c r="DJ157" s="7"/>
      <c r="DK157" s="291"/>
      <c r="DL157" s="1"/>
    </row>
    <row r="158" spans="2:119" x14ac:dyDescent="0.25">
      <c r="B158" s="92"/>
      <c r="C158" s="92"/>
      <c r="D158" s="325"/>
      <c r="E158" s="92"/>
      <c r="F158" s="326"/>
      <c r="G158" s="326"/>
      <c r="H158" s="321"/>
      <c r="I158" s="321"/>
      <c r="J158" s="92"/>
      <c r="K158" s="92"/>
      <c r="L158" s="92"/>
      <c r="M158" s="92"/>
      <c r="N158" s="92"/>
      <c r="O158" s="92"/>
      <c r="P158" s="92"/>
      <c r="Q158" s="92"/>
      <c r="R158" s="92"/>
      <c r="S158" s="92"/>
      <c r="T158" s="92"/>
      <c r="U158" s="92"/>
      <c r="V158" s="92"/>
      <c r="W158" s="92"/>
      <c r="X158" s="92"/>
      <c r="Y158" s="92"/>
      <c r="Z158" s="92"/>
      <c r="AA158" s="92"/>
      <c r="AB158" s="92"/>
      <c r="AC158" s="92"/>
      <c r="AD158" s="92"/>
      <c r="AE158" s="92"/>
      <c r="AF158" s="92"/>
      <c r="AG158" s="92"/>
      <c r="AH158" s="92"/>
      <c r="AI158" s="92"/>
      <c r="AJ158" s="92"/>
      <c r="AK158" s="92"/>
      <c r="AL158" s="92"/>
      <c r="AM158" s="92"/>
      <c r="AN158" s="92"/>
      <c r="AO158" s="92"/>
      <c r="AP158" s="92"/>
      <c r="BW158" s="284"/>
      <c r="BX158" t="s">
        <v>16</v>
      </c>
      <c r="BY158"/>
      <c r="BZ158" t="s">
        <v>17</v>
      </c>
      <c r="CA158"/>
      <c r="CB158" s="439" t="s">
        <v>18</v>
      </c>
      <c r="CC158" s="439"/>
      <c r="CD158" s="440"/>
      <c r="CH158" s="5"/>
      <c r="CI158" s="9"/>
      <c r="CJ158" s="132"/>
      <c r="CK158" s="137" t="s">
        <v>129</v>
      </c>
      <c r="CL158" s="137"/>
      <c r="CM158" s="137"/>
      <c r="CN158" s="263">
        <f>CK134+CK138+CK142+CK146</f>
        <v>0</v>
      </c>
      <c r="CP158" s="522" t="s">
        <v>234</v>
      </c>
      <c r="CQ158" s="522"/>
      <c r="CR158" s="268">
        <f>CU154</f>
        <v>1</v>
      </c>
      <c r="CS158" s="123"/>
      <c r="CT158" s="123"/>
      <c r="CU158" s="123"/>
      <c r="CV158" s="123"/>
      <c r="CW158" s="127"/>
      <c r="CX158" s="128"/>
      <c r="CY158" s="128"/>
      <c r="CZ158" s="123"/>
      <c r="DA158" s="9"/>
      <c r="DB158" s="9"/>
      <c r="DC158" s="9"/>
      <c r="DD158" s="9"/>
      <c r="DE158" s="9"/>
      <c r="DF158" s="9"/>
      <c r="DG158" s="9"/>
      <c r="DH158" s="6"/>
      <c r="DI158" s="7"/>
      <c r="DJ158" s="7"/>
      <c r="DK158" s="249"/>
      <c r="DL158" s="1"/>
    </row>
    <row r="159" spans="2:119" ht="15" customHeight="1" x14ac:dyDescent="0.25">
      <c r="B159" s="92"/>
      <c r="C159" s="92"/>
      <c r="D159" s="325" t="s">
        <v>222</v>
      </c>
      <c r="E159" s="92"/>
      <c r="F159" s="326">
        <f t="shared" ref="F159" si="11">F151+F154+F150</f>
        <v>1057</v>
      </c>
      <c r="G159" s="326"/>
      <c r="H159" s="321">
        <f>H151+H154+H150</f>
        <v>1464</v>
      </c>
      <c r="I159" s="321">
        <f>I151+I154+I150</f>
        <v>1892</v>
      </c>
      <c r="J159" s="92"/>
      <c r="K159" s="92"/>
      <c r="L159" s="92"/>
      <c r="M159" s="92"/>
      <c r="N159" s="92"/>
      <c r="O159" s="92"/>
      <c r="P159" s="92"/>
      <c r="Q159" s="92"/>
      <c r="R159" s="92"/>
      <c r="S159" s="92"/>
      <c r="T159" s="92"/>
      <c r="U159" s="92"/>
      <c r="V159" s="92"/>
      <c r="W159" s="92"/>
      <c r="X159" s="92"/>
      <c r="Y159" s="92"/>
      <c r="Z159" s="92"/>
      <c r="AA159" s="92"/>
      <c r="AB159" s="92"/>
      <c r="AC159" s="92"/>
      <c r="AD159" s="92"/>
      <c r="AE159" s="92"/>
      <c r="AF159" s="92"/>
      <c r="AG159" s="92"/>
      <c r="AH159" s="92"/>
      <c r="AI159" s="92"/>
      <c r="AJ159" s="92"/>
      <c r="AK159" s="92"/>
      <c r="AL159" s="92"/>
      <c r="AM159" s="92"/>
      <c r="AN159" s="92"/>
      <c r="AO159" s="92"/>
      <c r="AP159" s="92"/>
      <c r="BW159" s="284"/>
      <c r="BX159" s="357" t="s">
        <v>54</v>
      </c>
      <c r="BY159" s="357" t="s">
        <v>228</v>
      </c>
      <c r="BZ159" t="s">
        <v>54</v>
      </c>
      <c r="CA159" t="s">
        <v>228</v>
      </c>
      <c r="CB159" t="s">
        <v>54</v>
      </c>
      <c r="CC159" t="s">
        <v>228</v>
      </c>
      <c r="CD159" s="346"/>
      <c r="CH159" s="7"/>
      <c r="CI159" s="9"/>
      <c r="CJ159" s="9"/>
      <c r="CR159" s="12"/>
      <c r="CS159" s="12"/>
      <c r="CT159" s="12"/>
      <c r="CU159" s="12"/>
      <c r="CV159" s="12"/>
      <c r="CW159" s="7"/>
      <c r="CX159" s="108"/>
      <c r="CY159" s="108"/>
      <c r="CZ159" s="12"/>
      <c r="DA159" s="6"/>
      <c r="DB159" s="6"/>
      <c r="DC159" s="6"/>
      <c r="DD159" s="6"/>
      <c r="DE159" s="6"/>
      <c r="DF159" s="6"/>
      <c r="DG159" s="6"/>
      <c r="DH159" s="6"/>
      <c r="DI159" s="6"/>
      <c r="DJ159" s="6"/>
      <c r="DK159" s="291"/>
      <c r="DL159" s="1"/>
    </row>
    <row r="160" spans="2:119" ht="15.75" x14ac:dyDescent="0.25">
      <c r="B160" s="92"/>
      <c r="C160" s="92"/>
      <c r="D160" s="325" t="s">
        <v>224</v>
      </c>
      <c r="E160" s="92"/>
      <c r="F160" s="326">
        <f t="shared" ref="F160" si="12">F150+F152+F155</f>
        <v>7732</v>
      </c>
      <c r="G160" s="326"/>
      <c r="H160" s="321">
        <f>H150+H152+H155</f>
        <v>8139</v>
      </c>
      <c r="I160" s="321">
        <f>I150+I152+I155</f>
        <v>5952</v>
      </c>
      <c r="J160" s="92"/>
      <c r="K160" s="92"/>
      <c r="L160" s="92"/>
      <c r="M160" s="92"/>
      <c r="N160" s="92"/>
      <c r="O160" s="92"/>
      <c r="P160" s="92"/>
      <c r="Q160" s="92"/>
      <c r="R160" s="92"/>
      <c r="S160" s="92"/>
      <c r="T160" s="92"/>
      <c r="U160" s="92"/>
      <c r="V160" s="92"/>
      <c r="W160" s="92"/>
      <c r="X160" s="92"/>
      <c r="Y160" s="92"/>
      <c r="Z160" s="92"/>
      <c r="AA160" s="92"/>
      <c r="AB160" s="92"/>
      <c r="AC160" s="92"/>
      <c r="AD160" s="92"/>
      <c r="AE160" s="92"/>
      <c r="AF160" s="92"/>
      <c r="AG160" s="92"/>
      <c r="AH160" s="92"/>
      <c r="AI160" s="92"/>
      <c r="AJ160" s="92"/>
      <c r="AK160" s="92"/>
      <c r="AL160" s="92"/>
      <c r="AM160" s="92"/>
      <c r="AN160" s="92"/>
      <c r="AO160" s="92"/>
      <c r="AP160" s="92"/>
      <c r="BW160" s="284" t="s">
        <v>63</v>
      </c>
      <c r="BX160" s="357">
        <v>23.64</v>
      </c>
      <c r="BY160" s="358">
        <f t="shared" ref="BY160:BY161" si="13">BX160/(3.2808)^3</f>
        <v>0.66943467411483371</v>
      </c>
      <c r="BZ160" s="343"/>
      <c r="CA160" s="343"/>
      <c r="CB160" s="343"/>
      <c r="CC160" s="343"/>
      <c r="CD160" s="346"/>
      <c r="CH160" s="7"/>
      <c r="CI160" s="9"/>
      <c r="CJ160" s="526" t="s">
        <v>132</v>
      </c>
      <c r="CK160" s="526"/>
      <c r="CL160" s="526"/>
      <c r="CM160" s="150">
        <f>(CA93*1728)/BY92</f>
        <v>1048.6330434782608</v>
      </c>
      <c r="CR160" s="12"/>
      <c r="CS160" s="12"/>
      <c r="CT160" s="12"/>
      <c r="CU160" s="12"/>
      <c r="CV160" s="12"/>
      <c r="CW160" s="7"/>
      <c r="CX160" s="9"/>
      <c r="CY160" s="9"/>
      <c r="CZ160" s="9"/>
      <c r="DA160" s="6"/>
      <c r="DB160" s="6"/>
      <c r="DC160" s="6"/>
      <c r="DD160" s="6"/>
      <c r="DE160" s="6"/>
      <c r="DF160" s="6"/>
      <c r="DG160" s="6"/>
      <c r="DH160" s="6"/>
      <c r="DI160" s="6"/>
      <c r="DJ160" s="6"/>
      <c r="DK160" s="12"/>
      <c r="DL160" s="1"/>
    </row>
    <row r="161" spans="2:115" x14ac:dyDescent="0.25">
      <c r="B161" s="92"/>
      <c r="C161" s="92"/>
      <c r="D161" s="325" t="s">
        <v>225</v>
      </c>
      <c r="E161" s="92"/>
      <c r="F161" s="326">
        <f t="shared" ref="F161" si="14">(F150*2)+F151+F154+(F157)</f>
        <v>1814</v>
      </c>
      <c r="G161" s="326"/>
      <c r="H161" s="321">
        <f>(H150*2)+H151+H154+(H157)</f>
        <v>2628</v>
      </c>
      <c r="I161" s="321">
        <f>(I150*2)+I151+I154+(I157)</f>
        <v>3309</v>
      </c>
      <c r="J161" s="92"/>
      <c r="K161" s="92"/>
      <c r="L161" s="92"/>
      <c r="M161" s="92"/>
      <c r="N161" s="92"/>
      <c r="O161" s="92"/>
      <c r="P161" s="92"/>
      <c r="Q161" s="92"/>
      <c r="R161" s="92"/>
      <c r="S161" s="92"/>
      <c r="T161" s="92"/>
      <c r="U161" s="92"/>
      <c r="V161" s="92"/>
      <c r="W161" s="92"/>
      <c r="X161" s="92"/>
      <c r="Y161" s="92"/>
      <c r="Z161" s="92"/>
      <c r="AA161" s="92"/>
      <c r="AB161" s="92"/>
      <c r="AC161" s="92"/>
      <c r="AD161" s="92"/>
      <c r="AE161" s="92"/>
      <c r="AF161" s="92"/>
      <c r="AG161" s="92"/>
      <c r="AH161" s="92"/>
      <c r="AI161" s="92"/>
      <c r="AJ161" s="92"/>
      <c r="AK161" s="92"/>
      <c r="AL161" s="92"/>
      <c r="AM161" s="92"/>
      <c r="AN161" s="92"/>
      <c r="AO161" s="92"/>
      <c r="AP161" s="92"/>
      <c r="BW161" s="284" t="s">
        <v>229</v>
      </c>
      <c r="BX161" s="357">
        <v>82.4</v>
      </c>
      <c r="BY161" s="358">
        <f t="shared" si="13"/>
        <v>2.3333932803325848</v>
      </c>
      <c r="BZ161" s="343"/>
      <c r="CA161" s="343"/>
      <c r="CB161" s="343"/>
      <c r="CC161" s="343"/>
      <c r="CD161" s="346"/>
      <c r="CJ161" s="525" t="s">
        <v>140</v>
      </c>
      <c r="CK161" s="525"/>
      <c r="CL161" s="525"/>
      <c r="CM161" s="266">
        <f>(CA93*1728)/BY91</f>
        <v>1015.5183157894736</v>
      </c>
      <c r="CP161" s="12"/>
      <c r="CQ161" s="12"/>
      <c r="CR161" s="12"/>
      <c r="CS161" s="12"/>
      <c r="CT161" s="12"/>
      <c r="CU161" s="12"/>
      <c r="CV161" s="12"/>
      <c r="CW161" s="7"/>
      <c r="CX161" s="9"/>
      <c r="CY161" s="9"/>
      <c r="CZ161" s="9"/>
      <c r="DA161" s="9"/>
      <c r="DB161" s="9"/>
      <c r="DC161" s="9"/>
      <c r="DD161" s="9"/>
      <c r="DE161" s="9"/>
      <c r="DF161" s="9"/>
      <c r="DG161" s="9"/>
      <c r="DH161" s="9"/>
      <c r="DI161" s="1"/>
      <c r="DJ161" s="1"/>
      <c r="DK161" s="12"/>
    </row>
    <row r="162" spans="2:115" ht="15" customHeight="1" x14ac:dyDescent="0.25">
      <c r="B162" s="92"/>
      <c r="C162" s="92"/>
      <c r="D162" s="325" t="s">
        <v>224</v>
      </c>
      <c r="E162" s="92"/>
      <c r="F162" s="326">
        <f t="shared" ref="F162" si="15">(F150*2)+F152+F155+(F157)</f>
        <v>8489</v>
      </c>
      <c r="G162" s="326"/>
      <c r="H162" s="321">
        <f>(H150*2)+H152+H155+(H157)</f>
        <v>9303</v>
      </c>
      <c r="I162" s="321">
        <f>(I150*2)+I152+I155+(I157)</f>
        <v>7369</v>
      </c>
      <c r="J162" s="92"/>
      <c r="K162" s="92"/>
      <c r="L162" s="92"/>
      <c r="M162" s="92"/>
      <c r="N162" s="92"/>
      <c r="O162" s="92"/>
      <c r="P162" s="92"/>
      <c r="Q162" s="92"/>
      <c r="R162" s="92"/>
      <c r="S162" s="92"/>
      <c r="T162" s="92"/>
      <c r="U162" s="92"/>
      <c r="V162" s="92"/>
      <c r="W162" s="92"/>
      <c r="X162" s="92"/>
      <c r="Y162" s="92"/>
      <c r="Z162" s="92"/>
      <c r="AA162" s="92"/>
      <c r="AB162" s="92"/>
      <c r="AC162" s="92"/>
      <c r="AD162" s="92"/>
      <c r="AE162" s="92"/>
      <c r="AF162" s="92"/>
      <c r="AG162" s="92"/>
      <c r="AH162" s="92"/>
      <c r="AI162" s="92"/>
      <c r="AJ162" s="92"/>
      <c r="AK162" s="92"/>
      <c r="AL162" s="92"/>
      <c r="AM162" s="92"/>
      <c r="AN162" s="92"/>
      <c r="AO162" s="92"/>
      <c r="AP162" s="92"/>
      <c r="BW162" s="284" t="s">
        <v>231</v>
      </c>
      <c r="BX162" s="357">
        <v>97.86</v>
      </c>
      <c r="BY162" s="358">
        <f>BX162/(3.2808)^3</f>
        <v>2.7711876991911009</v>
      </c>
      <c r="BZ162" s="343"/>
      <c r="CA162" s="343"/>
      <c r="CB162" s="343"/>
      <c r="CC162" s="343"/>
      <c r="CD162" s="346"/>
      <c r="CJ162" s="526" t="s">
        <v>148</v>
      </c>
      <c r="CK162" s="526"/>
      <c r="CL162" s="526"/>
      <c r="CM162" s="272">
        <f>(CB93*1728)/BZ92</f>
        <v>1048.6330434782608</v>
      </c>
      <c r="CP162" s="12"/>
      <c r="CQ162" s="12"/>
      <c r="CR162" s="12"/>
      <c r="CS162" s="12"/>
      <c r="CT162" s="12"/>
      <c r="CU162" s="12"/>
      <c r="CV162" s="12"/>
      <c r="CW162" s="7"/>
      <c r="DA162" s="9"/>
      <c r="DB162" s="9"/>
      <c r="DC162" s="9"/>
      <c r="DD162" s="9"/>
      <c r="DE162" s="9"/>
      <c r="DF162" s="9"/>
      <c r="DG162" s="9"/>
      <c r="DH162" s="9"/>
      <c r="DI162" s="1"/>
      <c r="DJ162" s="1"/>
      <c r="DK162" s="291"/>
    </row>
    <row r="163" spans="2:115" ht="24" thickBot="1" x14ac:dyDescent="0.3">
      <c r="B163" s="92"/>
      <c r="C163" s="92"/>
      <c r="D163" s="325" t="s">
        <v>227</v>
      </c>
      <c r="E163" s="92"/>
      <c r="F163" s="326">
        <f t="shared" ref="F163" si="16">(F150*3)+F151+F154+(F157*2)</f>
        <v>2571</v>
      </c>
      <c r="G163" s="326"/>
      <c r="H163" s="321">
        <f>(H150*3)+H151+H154+(H157*2)</f>
        <v>3792</v>
      </c>
      <c r="I163" s="321">
        <f>(I150*3)+I151+I154+(I157*2)</f>
        <v>4726</v>
      </c>
      <c r="J163" s="92"/>
      <c r="K163" s="92"/>
      <c r="L163" s="92"/>
      <c r="M163" s="92"/>
      <c r="N163" s="92"/>
      <c r="O163" s="92"/>
      <c r="P163" s="92"/>
      <c r="Q163" s="92"/>
      <c r="R163" s="92"/>
      <c r="S163" s="92"/>
      <c r="T163" s="92"/>
      <c r="U163" s="92"/>
      <c r="V163" s="92"/>
      <c r="W163" s="92"/>
      <c r="X163" s="92"/>
      <c r="Y163" s="92"/>
      <c r="Z163" s="92"/>
      <c r="AA163" s="92"/>
      <c r="AB163" s="92"/>
      <c r="AC163" s="92"/>
      <c r="AD163" s="92"/>
      <c r="AE163" s="92"/>
      <c r="AF163" s="92"/>
      <c r="AG163" s="92"/>
      <c r="AH163" s="92"/>
      <c r="AI163" s="92"/>
      <c r="AJ163" s="92"/>
      <c r="AK163" s="92"/>
      <c r="AL163" s="92"/>
      <c r="AM163" s="92"/>
      <c r="AN163" s="92"/>
      <c r="AO163" s="92"/>
      <c r="AP163" s="92"/>
      <c r="BW163" s="284"/>
      <c r="BX163" s="347"/>
      <c r="BY163" s="347"/>
      <c r="BZ163" s="347"/>
      <c r="CA163" s="347"/>
      <c r="CB163" s="348"/>
      <c r="CC163" s="348"/>
      <c r="CD163" s="349"/>
      <c r="CJ163" s="525" t="s">
        <v>153</v>
      </c>
      <c r="CK163" s="525"/>
      <c r="CL163" s="525"/>
      <c r="CM163" s="266">
        <f>(CB93*1728)/BZ91</f>
        <v>1121.793488372093</v>
      </c>
      <c r="CP163" s="12"/>
      <c r="CQ163" s="12"/>
      <c r="CR163" s="12"/>
      <c r="CS163" s="12"/>
      <c r="CT163" s="12"/>
      <c r="CU163" s="12"/>
      <c r="CV163" s="12"/>
      <c r="CW163" s="7"/>
      <c r="DA163" s="6"/>
      <c r="DB163" s="6"/>
      <c r="DC163" s="6"/>
      <c r="DD163" s="6"/>
      <c r="DE163" s="6"/>
      <c r="DF163" s="6"/>
      <c r="DG163" s="6"/>
      <c r="DH163" s="6"/>
      <c r="DI163" s="6"/>
      <c r="DJ163" s="6"/>
      <c r="DK163" s="12"/>
    </row>
    <row r="164" spans="2:115" ht="23.25" x14ac:dyDescent="0.25">
      <c r="B164" s="92"/>
      <c r="C164" s="92"/>
      <c r="D164" s="325" t="s">
        <v>224</v>
      </c>
      <c r="E164" s="92"/>
      <c r="F164" s="326">
        <f t="shared" ref="F164" si="17">(F150*3)+F152+F155+(F157*2)</f>
        <v>9246</v>
      </c>
      <c r="G164" s="326"/>
      <c r="H164" s="321">
        <f>(H150*3)+H152+H155+(H157*2)</f>
        <v>10467</v>
      </c>
      <c r="I164" s="321">
        <f>(I150*3)+I152+I155+(I157*2)</f>
        <v>8786</v>
      </c>
      <c r="J164" s="92"/>
      <c r="K164" s="92"/>
      <c r="L164" s="92"/>
      <c r="M164" s="92"/>
      <c r="N164" s="92"/>
      <c r="O164" s="92"/>
      <c r="P164" s="92"/>
      <c r="Q164" s="92"/>
      <c r="R164" s="92"/>
      <c r="S164" s="92"/>
      <c r="T164" s="92"/>
      <c r="U164" s="92"/>
      <c r="V164" s="92"/>
      <c r="W164" s="92"/>
      <c r="X164" s="92"/>
      <c r="Y164" s="92"/>
      <c r="Z164" s="92"/>
      <c r="AA164" s="92"/>
      <c r="AB164" s="92"/>
      <c r="AC164" s="92"/>
      <c r="AD164" s="92"/>
      <c r="AE164" s="92"/>
      <c r="AF164" s="92"/>
      <c r="AG164" s="92"/>
      <c r="AH164" s="92"/>
      <c r="AI164" s="92"/>
      <c r="AJ164" s="92"/>
      <c r="AK164" s="92"/>
      <c r="AL164" s="92"/>
      <c r="AM164" s="92"/>
      <c r="AN164" s="92"/>
      <c r="AO164" s="92"/>
      <c r="AP164" s="92"/>
      <c r="BV164" s="2"/>
      <c r="BW164" s="2"/>
      <c r="BX164" s="2"/>
      <c r="BY164" s="2"/>
      <c r="BZ164" s="2"/>
      <c r="CA164" s="2"/>
      <c r="CB164" s="2"/>
      <c r="CC164" s="2"/>
      <c r="CD164" s="2"/>
      <c r="CJ164" s="276"/>
      <c r="CK164" s="276"/>
      <c r="CL164" s="276"/>
      <c r="CM164" s="141"/>
      <c r="CN164" s="18"/>
      <c r="CP164" s="9"/>
      <c r="CQ164" s="9"/>
      <c r="CR164" s="9"/>
      <c r="CS164" s="9"/>
      <c r="CT164" s="12"/>
      <c r="CU164" s="12"/>
      <c r="CV164" s="12"/>
      <c r="CW164" s="7"/>
      <c r="DA164" s="6"/>
      <c r="DB164" s="6"/>
      <c r="DC164" s="6"/>
      <c r="DD164" s="6"/>
      <c r="DE164" s="6"/>
      <c r="DF164" s="6"/>
      <c r="DG164" s="6"/>
      <c r="DH164" s="6"/>
      <c r="DI164" s="6"/>
      <c r="DJ164" s="6"/>
      <c r="DK164" s="12"/>
    </row>
    <row r="165" spans="2:115" ht="23.25" x14ac:dyDescent="0.25">
      <c r="B165" s="92"/>
      <c r="C165" s="92"/>
      <c r="D165" s="92"/>
      <c r="E165" s="92"/>
      <c r="F165" s="326"/>
      <c r="G165" s="326"/>
      <c r="H165" s="321"/>
      <c r="I165" s="321"/>
      <c r="J165" s="92"/>
      <c r="K165" s="92"/>
      <c r="L165" s="92"/>
      <c r="M165" s="92"/>
      <c r="N165" s="92"/>
      <c r="O165" s="92"/>
      <c r="P165" s="92"/>
      <c r="Q165" s="92"/>
      <c r="R165" s="92"/>
      <c r="S165" s="92"/>
      <c r="T165" s="92"/>
      <c r="U165" s="92"/>
      <c r="V165" s="92"/>
      <c r="W165" s="92"/>
      <c r="X165" s="92"/>
      <c r="Y165" s="92"/>
      <c r="Z165" s="92"/>
      <c r="AA165" s="92"/>
      <c r="AB165" s="92"/>
      <c r="AC165" s="92"/>
      <c r="AD165" s="92"/>
      <c r="AE165" s="92"/>
      <c r="AF165" s="92"/>
      <c r="AG165" s="92"/>
      <c r="AH165" s="92"/>
      <c r="AI165" s="92"/>
      <c r="AJ165" s="92"/>
      <c r="AK165" s="92"/>
      <c r="AL165" s="92"/>
      <c r="AM165" s="92"/>
      <c r="AN165" s="92"/>
      <c r="AO165" s="92"/>
      <c r="AP165" s="92"/>
      <c r="BV165" s="2"/>
      <c r="BW165" s="352"/>
      <c r="BX165" s="127"/>
      <c r="BY165" s="341" t="s">
        <v>138</v>
      </c>
      <c r="BZ165" s="351" t="s">
        <v>139</v>
      </c>
      <c r="CA165"/>
      <c r="CE165" s="2"/>
      <c r="CF165" s="2"/>
      <c r="CG165" s="2"/>
      <c r="CJ165" s="525" t="s">
        <v>156</v>
      </c>
      <c r="CK165" s="525"/>
      <c r="CL165" s="525"/>
      <c r="CM165" s="266">
        <f>(CF93*1728)/CD92</f>
        <v>1232.9513513513514</v>
      </c>
      <c r="CN165" s="18"/>
      <c r="CP165" s="9"/>
      <c r="CQ165" s="9"/>
      <c r="CR165" s="9"/>
      <c r="CS165" s="9"/>
      <c r="CT165" s="12"/>
      <c r="CU165" s="12"/>
      <c r="CV165" s="12"/>
      <c r="CW165" s="7"/>
      <c r="DA165" s="9"/>
      <c r="DB165" s="9"/>
      <c r="DC165" s="9"/>
      <c r="DD165" s="9"/>
      <c r="DE165" s="9"/>
      <c r="DF165" s="9"/>
      <c r="DG165" s="9"/>
      <c r="DH165" s="6"/>
      <c r="DI165" s="6"/>
      <c r="DJ165" s="6"/>
      <c r="DK165" s="290"/>
    </row>
    <row r="166" spans="2:115" ht="23.25" x14ac:dyDescent="0.25">
      <c r="B166" s="92"/>
      <c r="C166" s="92"/>
      <c r="D166" s="92"/>
      <c r="E166" s="92"/>
      <c r="F166" s="326"/>
      <c r="G166" s="326"/>
      <c r="H166" s="321"/>
      <c r="I166" s="321"/>
      <c r="J166" s="92"/>
      <c r="K166" s="92"/>
      <c r="L166" s="92"/>
      <c r="M166" s="92"/>
      <c r="N166" s="92"/>
      <c r="O166" s="92"/>
      <c r="P166" s="92"/>
      <c r="Q166" s="92"/>
      <c r="R166" s="92"/>
      <c r="S166" s="92"/>
      <c r="T166" s="92"/>
      <c r="U166" s="92"/>
      <c r="V166" s="92"/>
      <c r="W166" s="92"/>
      <c r="X166" s="92"/>
      <c r="Y166" s="92"/>
      <c r="Z166" s="92"/>
      <c r="AA166" s="92"/>
      <c r="AB166" s="92"/>
      <c r="AC166" s="92"/>
      <c r="AD166" s="92"/>
      <c r="AE166" s="92"/>
      <c r="AF166" s="92"/>
      <c r="AG166" s="92"/>
      <c r="AH166" s="92"/>
      <c r="AI166" s="92"/>
      <c r="AJ166" s="92"/>
      <c r="AK166" s="92"/>
      <c r="AL166" s="92"/>
      <c r="AM166" s="92"/>
      <c r="AN166" s="92"/>
      <c r="AO166" s="92"/>
      <c r="AP166" s="92"/>
      <c r="BV166" s="3"/>
      <c r="BW166" s="284" t="s">
        <v>63</v>
      </c>
      <c r="BX166" t="s">
        <v>235</v>
      </c>
      <c r="BY166" s="350">
        <v>18</v>
      </c>
      <c r="BZ166" s="350">
        <v>18</v>
      </c>
      <c r="CA166"/>
      <c r="CE166" s="2"/>
      <c r="CF166" s="2"/>
      <c r="CG166" s="2"/>
      <c r="CJ166" s="525" t="s">
        <v>158</v>
      </c>
      <c r="CK166" s="525"/>
      <c r="CL166" s="525"/>
      <c r="CM166" s="272">
        <f>(CF93*1728)/CD91</f>
        <v>960.40421052631575</v>
      </c>
      <c r="CN166" s="18"/>
      <c r="DA166" s="9"/>
      <c r="DB166" s="9"/>
      <c r="DC166" s="9"/>
      <c r="DD166" s="9"/>
      <c r="DE166" s="9"/>
      <c r="DF166" s="9"/>
      <c r="DG166" s="9"/>
      <c r="DH166" s="6"/>
      <c r="DI166" s="6"/>
      <c r="DJ166" s="6"/>
      <c r="DK166" s="9"/>
    </row>
    <row r="167" spans="2:115" ht="15" customHeight="1" x14ac:dyDescent="0.25">
      <c r="B167" s="92"/>
      <c r="C167" s="92"/>
      <c r="D167" s="92"/>
      <c r="E167" s="92"/>
      <c r="F167" s="92"/>
      <c r="G167" s="92"/>
      <c r="H167" s="321"/>
      <c r="I167" s="321"/>
      <c r="J167" s="92"/>
      <c r="K167" s="92"/>
      <c r="L167" s="92"/>
      <c r="M167" s="92"/>
      <c r="N167" s="92"/>
      <c r="O167" s="92"/>
      <c r="P167" s="92"/>
      <c r="Q167" s="92"/>
      <c r="R167" s="92"/>
      <c r="S167" s="92"/>
      <c r="T167" s="92"/>
      <c r="U167" s="92"/>
      <c r="V167" s="92"/>
      <c r="W167" s="92"/>
      <c r="X167" s="92"/>
      <c r="Y167" s="92"/>
      <c r="Z167" s="92"/>
      <c r="AA167" s="92"/>
      <c r="AB167" s="92"/>
      <c r="AC167" s="92"/>
      <c r="AD167" s="92"/>
      <c r="AE167" s="92"/>
      <c r="AF167" s="92"/>
      <c r="AG167" s="92"/>
      <c r="AH167" s="92"/>
      <c r="AI167" s="92"/>
      <c r="AJ167" s="92"/>
      <c r="AK167" s="92"/>
      <c r="AL167" s="92"/>
      <c r="AM167" s="92"/>
      <c r="AN167" s="92"/>
      <c r="AO167" s="92"/>
      <c r="AP167" s="92"/>
      <c r="BV167" s="4"/>
      <c r="BW167" s="284" t="s">
        <v>63</v>
      </c>
      <c r="BX167" t="s">
        <v>236</v>
      </c>
      <c r="BY167" s="350">
        <v>38</v>
      </c>
      <c r="BZ167" s="350">
        <v>38</v>
      </c>
      <c r="CA167"/>
      <c r="CF167" s="3"/>
      <c r="CG167" s="3"/>
      <c r="CJ167" s="525" t="s">
        <v>161</v>
      </c>
      <c r="CK167" s="525"/>
      <c r="CL167" s="525"/>
      <c r="CM167" s="266">
        <f>(CG93*1728)/CE92</f>
        <v>1232.9513513513514</v>
      </c>
      <c r="CN167" s="18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319"/>
    </row>
    <row r="168" spans="2:115" ht="15" customHeight="1" x14ac:dyDescent="0.25">
      <c r="B168" s="92"/>
      <c r="C168" s="92"/>
      <c r="D168" s="92"/>
      <c r="E168" s="92"/>
      <c r="F168" s="92"/>
      <c r="G168" s="92"/>
      <c r="H168" s="321"/>
      <c r="I168" s="321"/>
      <c r="J168" s="92"/>
      <c r="K168" s="92"/>
      <c r="L168" s="92"/>
      <c r="M168" s="92"/>
      <c r="N168" s="92"/>
      <c r="O168" s="92"/>
      <c r="P168" s="92"/>
      <c r="Q168" s="92"/>
      <c r="R168" s="92"/>
      <c r="S168" s="92"/>
      <c r="T168" s="92"/>
      <c r="U168" s="92"/>
      <c r="V168" s="92"/>
      <c r="W168" s="92"/>
      <c r="X168" s="92"/>
      <c r="Y168" s="92"/>
      <c r="Z168" s="92"/>
      <c r="AA168" s="92"/>
      <c r="AB168" s="92"/>
      <c r="AC168" s="92"/>
      <c r="AD168" s="92"/>
      <c r="AE168" s="92"/>
      <c r="AF168" s="92"/>
      <c r="AG168" s="92"/>
      <c r="AH168" s="92"/>
      <c r="AI168" s="92"/>
      <c r="AJ168" s="92"/>
      <c r="AK168" s="92"/>
      <c r="AL168" s="92"/>
      <c r="AM168" s="92"/>
      <c r="AN168" s="92"/>
      <c r="AO168" s="92"/>
      <c r="AP168" s="92"/>
      <c r="BV168" s="4"/>
      <c r="BW168" s="284" t="s">
        <v>63</v>
      </c>
      <c r="BX168" t="s">
        <v>237</v>
      </c>
      <c r="BY168" s="350">
        <v>96</v>
      </c>
      <c r="BZ168" s="350">
        <v>91.25</v>
      </c>
      <c r="CA168"/>
      <c r="CE168" s="7"/>
      <c r="CF168" s="5"/>
      <c r="CG168" s="2"/>
      <c r="CJ168" s="525" t="s">
        <v>162</v>
      </c>
      <c r="CK168" s="525"/>
      <c r="CL168" s="525"/>
      <c r="CM168" s="272">
        <f>(CG93*1728)/CE91</f>
        <v>1060.9116279069767</v>
      </c>
      <c r="CN168" s="18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319"/>
    </row>
    <row r="169" spans="2:115" ht="23.25" x14ac:dyDescent="0.25">
      <c r="B169" s="92"/>
      <c r="C169" s="92"/>
      <c r="D169" s="92"/>
      <c r="E169" s="92"/>
      <c r="F169" s="92"/>
      <c r="G169" s="92"/>
      <c r="H169" s="321"/>
      <c r="I169" s="321"/>
      <c r="J169" s="92"/>
      <c r="K169" s="92"/>
      <c r="L169" s="92"/>
      <c r="M169" s="92"/>
      <c r="N169" s="92"/>
      <c r="O169" s="92"/>
      <c r="P169" s="92"/>
      <c r="Q169" s="92"/>
      <c r="R169" s="92"/>
      <c r="S169" s="92"/>
      <c r="T169" s="92"/>
      <c r="U169" s="92"/>
      <c r="V169" s="92"/>
      <c r="W169" s="92"/>
      <c r="X169" s="92"/>
      <c r="Y169" s="92"/>
      <c r="Z169" s="92"/>
      <c r="AA169" s="92"/>
      <c r="AB169" s="92"/>
      <c r="AC169" s="92"/>
      <c r="AD169" s="92"/>
      <c r="AE169" s="92"/>
      <c r="AF169" s="92"/>
      <c r="AG169" s="92"/>
      <c r="AH169" s="92"/>
      <c r="AI169" s="92"/>
      <c r="AJ169" s="92"/>
      <c r="AK169" s="92"/>
      <c r="AL169" s="92"/>
      <c r="AM169" s="92"/>
      <c r="AN169" s="92"/>
      <c r="AO169" s="92"/>
      <c r="AP169" s="92"/>
      <c r="BV169" s="7"/>
      <c r="BW169" s="284" t="s">
        <v>63</v>
      </c>
      <c r="BX169" t="s">
        <v>238</v>
      </c>
      <c r="BY169" s="350">
        <v>22.47</v>
      </c>
      <c r="BZ169" s="350">
        <v>21.36</v>
      </c>
      <c r="CA169"/>
      <c r="CE169" s="7"/>
      <c r="CG169" s="2"/>
      <c r="CL169" s="18"/>
      <c r="CM169" s="112"/>
      <c r="CN169" s="18"/>
      <c r="DA169" s="3"/>
      <c r="DB169" s="3"/>
      <c r="DC169" s="3"/>
      <c r="DD169" s="3"/>
      <c r="DE169" s="3"/>
      <c r="DF169" s="3"/>
      <c r="DG169" s="3"/>
      <c r="DH169" s="3"/>
      <c r="DI169" s="3"/>
      <c r="DJ169" s="3"/>
      <c r="DK169" s="319"/>
    </row>
    <row r="170" spans="2:115" ht="23.25" x14ac:dyDescent="0.25">
      <c r="B170" s="92"/>
      <c r="C170" s="92"/>
      <c r="D170" s="92"/>
      <c r="E170" s="92"/>
      <c r="F170" s="92"/>
      <c r="G170" s="92"/>
      <c r="H170" s="321"/>
      <c r="I170" s="321"/>
      <c r="J170" s="92"/>
      <c r="K170" s="92"/>
      <c r="L170" s="92"/>
      <c r="M170" s="92"/>
      <c r="N170" s="92"/>
      <c r="O170" s="92"/>
      <c r="P170" s="92"/>
      <c r="Q170" s="92"/>
      <c r="R170" s="92"/>
      <c r="S170" s="92"/>
      <c r="T170" s="92"/>
      <c r="U170" s="92"/>
      <c r="V170" s="92"/>
      <c r="W170" s="92"/>
      <c r="X170" s="92"/>
      <c r="Y170" s="92"/>
      <c r="Z170" s="92"/>
      <c r="AA170" s="92"/>
      <c r="AB170" s="92"/>
      <c r="AC170" s="92"/>
      <c r="AD170" s="92"/>
      <c r="AE170" s="92"/>
      <c r="AF170" s="92"/>
      <c r="AG170" s="92"/>
      <c r="AH170" s="92"/>
      <c r="AI170" s="92"/>
      <c r="AJ170" s="92"/>
      <c r="AK170" s="92"/>
      <c r="AL170" s="92"/>
      <c r="AM170" s="92"/>
      <c r="AN170" s="92"/>
      <c r="AO170" s="92"/>
      <c r="AP170" s="92"/>
      <c r="BV170" s="7"/>
      <c r="BW170" s="352"/>
      <c r="BX170" s="127"/>
      <c r="BY170" s="127"/>
      <c r="BZ170" s="127"/>
      <c r="CA170"/>
      <c r="CE170" s="16"/>
      <c r="CF170" s="16"/>
      <c r="CG170" s="2"/>
      <c r="CJ170" s="262" t="str">
        <f>IF($H$15="Imperial",                 "Imperial (inches and ft)",               "Metric (mm and meters)")</f>
        <v>Imperial (inches and ft)</v>
      </c>
      <c r="CK170" s="513" t="str">
        <f>IF($H$23=1,               "by system width",             "by system length")</f>
        <v>by system length</v>
      </c>
      <c r="CL170" s="513"/>
      <c r="CM170" s="513"/>
      <c r="CN170" s="513"/>
      <c r="CO170" s="297"/>
      <c r="CP170" s="512" t="s">
        <v>239</v>
      </c>
      <c r="CQ170" s="512"/>
      <c r="CR170" s="512"/>
      <c r="CS170" s="512"/>
      <c r="CT170" s="512"/>
      <c r="CU170" s="512"/>
      <c r="CV170" s="512"/>
      <c r="CW170" s="512"/>
      <c r="CX170" s="512"/>
      <c r="CY170" s="495"/>
      <c r="CZ170" s="495"/>
      <c r="DA170" s="6"/>
      <c r="DB170" s="6"/>
      <c r="DC170" s="6"/>
      <c r="DD170" s="6"/>
      <c r="DE170" s="6"/>
      <c r="DF170" s="6"/>
      <c r="DG170" s="6"/>
      <c r="DH170" s="6"/>
      <c r="DI170" s="9"/>
      <c r="DJ170" s="9"/>
      <c r="DK170" s="319"/>
    </row>
    <row r="171" spans="2:115" x14ac:dyDescent="0.25">
      <c r="B171" s="92"/>
      <c r="C171" s="92"/>
      <c r="D171" s="92"/>
      <c r="E171" s="92"/>
      <c r="F171" s="92"/>
      <c r="G171" s="92"/>
      <c r="H171" s="321"/>
      <c r="I171" s="321"/>
      <c r="J171" s="92"/>
      <c r="K171" s="92"/>
      <c r="L171" s="92"/>
      <c r="M171" s="92"/>
      <c r="N171" s="92"/>
      <c r="O171" s="92"/>
      <c r="P171" s="92"/>
      <c r="Q171" s="92"/>
      <c r="R171" s="92"/>
      <c r="S171" s="92"/>
      <c r="T171" s="92"/>
      <c r="U171" s="92"/>
      <c r="V171" s="92"/>
      <c r="W171" s="92"/>
      <c r="X171" s="92"/>
      <c r="Y171" s="92"/>
      <c r="Z171" s="92"/>
      <c r="AA171" s="92"/>
      <c r="AB171" s="92"/>
      <c r="AC171" s="92"/>
      <c r="AD171" s="92"/>
      <c r="AE171" s="92"/>
      <c r="AF171" s="92"/>
      <c r="AG171" s="92"/>
      <c r="AH171" s="92"/>
      <c r="AI171" s="92"/>
      <c r="AJ171" s="92"/>
      <c r="AK171" s="92"/>
      <c r="AL171" s="92"/>
      <c r="AM171" s="92"/>
      <c r="AN171" s="92"/>
      <c r="AO171" s="92"/>
      <c r="AP171" s="92"/>
      <c r="BV171" s="5"/>
      <c r="BW171"/>
      <c r="BX171"/>
      <c r="BY171"/>
      <c r="BZ171"/>
      <c r="CA171"/>
      <c r="CE171" s="16"/>
      <c r="CF171" s="16"/>
      <c r="CG171" s="16"/>
      <c r="CJ171" s="501" t="s">
        <v>42</v>
      </c>
      <c r="CK171" s="508" t="s">
        <v>43</v>
      </c>
      <c r="CL171" s="501" t="s">
        <v>44</v>
      </c>
      <c r="CM171" s="501" t="s">
        <v>45</v>
      </c>
      <c r="CN171" s="501" t="s">
        <v>46</v>
      </c>
      <c r="CO171" s="291"/>
      <c r="CP171" s="512"/>
      <c r="CQ171" s="512"/>
      <c r="CR171" s="512"/>
      <c r="CS171" s="512"/>
      <c r="CT171" s="512"/>
      <c r="CU171" s="512"/>
      <c r="CV171" s="512"/>
      <c r="CW171" s="512"/>
      <c r="CX171" s="512"/>
      <c r="CY171" s="495"/>
      <c r="CZ171" s="495"/>
      <c r="DA171" s="6"/>
      <c r="DB171" s="6"/>
      <c r="DC171" s="6"/>
      <c r="DD171" s="6"/>
      <c r="DE171" s="6"/>
      <c r="DF171" s="6"/>
      <c r="DG171" s="6"/>
      <c r="DH171" s="6"/>
      <c r="DI171" s="9"/>
      <c r="DJ171" s="9"/>
      <c r="DK171" s="319"/>
    </row>
    <row r="172" spans="2:115" x14ac:dyDescent="0.25">
      <c r="B172" s="92"/>
      <c r="C172" s="92"/>
      <c r="D172" s="92"/>
      <c r="E172" s="92"/>
      <c r="F172" s="92"/>
      <c r="G172" s="92"/>
      <c r="H172" s="321"/>
      <c r="I172" s="321"/>
      <c r="J172" s="92"/>
      <c r="K172" s="92"/>
      <c r="L172" s="92"/>
      <c r="M172" s="92"/>
      <c r="N172" s="92"/>
      <c r="O172" s="92"/>
      <c r="P172" s="92"/>
      <c r="Q172" s="92"/>
      <c r="R172" s="92"/>
      <c r="S172" s="92"/>
      <c r="T172" s="92"/>
      <c r="U172" s="92"/>
      <c r="V172" s="92"/>
      <c r="W172" s="92"/>
      <c r="X172" s="92"/>
      <c r="Y172" s="92"/>
      <c r="Z172" s="92"/>
      <c r="AA172" s="92"/>
      <c r="AB172" s="92"/>
      <c r="AC172" s="92"/>
      <c r="AD172" s="92"/>
      <c r="AE172" s="92"/>
      <c r="AF172" s="92"/>
      <c r="AG172" s="92"/>
      <c r="AH172" s="92"/>
      <c r="AI172" s="92"/>
      <c r="AJ172" s="92"/>
      <c r="AK172" s="92"/>
      <c r="AL172" s="92"/>
      <c r="AM172" s="92"/>
      <c r="AN172" s="92"/>
      <c r="AO172" s="92"/>
      <c r="AP172" s="92"/>
      <c r="BV172" s="5"/>
      <c r="BW172" s="284" t="s">
        <v>229</v>
      </c>
      <c r="BX172" t="s">
        <v>235</v>
      </c>
      <c r="BY172" s="350">
        <v>34</v>
      </c>
      <c r="BZ172" s="350">
        <v>34</v>
      </c>
      <c r="CA172"/>
      <c r="CE172" s="5"/>
      <c r="CF172" s="16"/>
      <c r="CG172" s="16"/>
      <c r="CJ172" s="501"/>
      <c r="CK172" s="508"/>
      <c r="CL172" s="501"/>
      <c r="CM172" s="501"/>
      <c r="CN172" s="501"/>
      <c r="CO172" s="291"/>
      <c r="CP172" s="519" t="s">
        <v>29</v>
      </c>
      <c r="CQ172" s="519"/>
      <c r="CR172" s="519"/>
      <c r="CS172" s="519"/>
      <c r="CT172" s="519"/>
      <c r="CU172" s="519"/>
      <c r="CV172" s="519"/>
      <c r="CW172" s="519"/>
      <c r="CX172" s="519"/>
      <c r="CY172" s="495"/>
      <c r="CZ172" s="495"/>
      <c r="DA172" s="9"/>
      <c r="DB172" s="327"/>
      <c r="DC172" s="9"/>
      <c r="DD172" s="9"/>
      <c r="DE172" s="9"/>
      <c r="DF172" s="9"/>
      <c r="DG172" s="9"/>
      <c r="DH172" s="9"/>
      <c r="DI172" s="9"/>
      <c r="DJ172" s="9"/>
      <c r="DK172" s="1"/>
    </row>
    <row r="173" spans="2:115" x14ac:dyDescent="0.25">
      <c r="B173" s="92"/>
      <c r="C173" s="92"/>
      <c r="D173" s="92"/>
      <c r="E173" s="92"/>
      <c r="F173" s="92"/>
      <c r="G173" s="92"/>
      <c r="H173" s="321"/>
      <c r="I173" s="321"/>
      <c r="J173" s="92"/>
      <c r="K173" s="92"/>
      <c r="L173" s="92"/>
      <c r="M173" s="92"/>
      <c r="N173" s="92"/>
      <c r="O173" s="92"/>
      <c r="P173" s="92"/>
      <c r="Q173" s="92"/>
      <c r="R173" s="92"/>
      <c r="S173" s="92"/>
      <c r="T173" s="92"/>
      <c r="U173" s="92"/>
      <c r="V173" s="92"/>
      <c r="W173" s="92"/>
      <c r="X173" s="92"/>
      <c r="Y173" s="92"/>
      <c r="Z173" s="92"/>
      <c r="AA173" s="92"/>
      <c r="AB173" s="92"/>
      <c r="AC173" s="92"/>
      <c r="AD173" s="92"/>
      <c r="AE173" s="92"/>
      <c r="AF173" s="92"/>
      <c r="AG173" s="92"/>
      <c r="AH173" s="92"/>
      <c r="AI173" s="92"/>
      <c r="AJ173" s="92"/>
      <c r="AK173" s="92"/>
      <c r="AL173" s="92"/>
      <c r="AM173" s="92"/>
      <c r="AN173" s="92"/>
      <c r="AO173" s="92"/>
      <c r="AP173" s="92"/>
      <c r="BV173" s="7"/>
      <c r="BW173" s="284" t="s">
        <v>229</v>
      </c>
      <c r="BX173" t="s">
        <v>236</v>
      </c>
      <c r="BY173" s="350">
        <v>60</v>
      </c>
      <c r="BZ173" s="350">
        <v>60</v>
      </c>
      <c r="CA173"/>
      <c r="CE173" s="5"/>
      <c r="CF173" s="16"/>
      <c r="CG173" s="16"/>
      <c r="CJ173" s="501"/>
      <c r="CK173" s="508"/>
      <c r="CL173" s="501"/>
      <c r="CM173" s="501"/>
      <c r="CN173" s="501"/>
      <c r="CO173" s="291"/>
      <c r="CP173" s="519"/>
      <c r="CQ173" s="519"/>
      <c r="CR173" s="519"/>
      <c r="CS173" s="519"/>
      <c r="CT173" s="519"/>
      <c r="CU173" s="519"/>
      <c r="CV173" s="519"/>
      <c r="CW173" s="519"/>
      <c r="CX173" s="519"/>
      <c r="CY173" s="493" t="s">
        <v>34</v>
      </c>
      <c r="CZ173" s="493" t="s">
        <v>35</v>
      </c>
      <c r="DA173" s="9"/>
      <c r="DB173" s="327"/>
      <c r="DC173" s="9"/>
      <c r="DD173" s="9"/>
      <c r="DE173" s="9"/>
      <c r="DF173" s="9"/>
      <c r="DG173" s="9"/>
      <c r="DH173" s="9"/>
      <c r="DI173" s="9"/>
      <c r="DJ173" s="9"/>
      <c r="DK173" s="1"/>
    </row>
    <row r="174" spans="2:115" x14ac:dyDescent="0.25">
      <c r="B174" s="92"/>
      <c r="C174" s="92"/>
      <c r="D174" s="92"/>
      <c r="E174" s="92"/>
      <c r="F174" s="92"/>
      <c r="G174" s="92"/>
      <c r="H174" s="321"/>
      <c r="I174" s="321"/>
      <c r="J174" s="92"/>
      <c r="K174" s="92"/>
      <c r="L174" s="92"/>
      <c r="M174" s="92"/>
      <c r="N174" s="92"/>
      <c r="O174" s="92"/>
      <c r="P174" s="92"/>
      <c r="Q174" s="92"/>
      <c r="R174" s="92"/>
      <c r="S174" s="92"/>
      <c r="T174" s="92"/>
      <c r="U174" s="92"/>
      <c r="V174" s="92"/>
      <c r="W174" s="92"/>
      <c r="X174" s="92"/>
      <c r="Y174" s="92"/>
      <c r="Z174" s="92"/>
      <c r="AA174" s="92"/>
      <c r="AB174" s="92"/>
      <c r="AC174" s="92"/>
      <c r="AD174" s="92"/>
      <c r="AE174" s="92"/>
      <c r="AF174" s="92"/>
      <c r="AG174" s="92"/>
      <c r="AH174" s="92"/>
      <c r="AI174" s="92"/>
      <c r="AJ174" s="92"/>
      <c r="AK174" s="92"/>
      <c r="AL174" s="92"/>
      <c r="AM174" s="92"/>
      <c r="AN174" s="92"/>
      <c r="AO174" s="92"/>
      <c r="AP174" s="92"/>
      <c r="BV174" s="7"/>
      <c r="BW174" s="284" t="s">
        <v>229</v>
      </c>
      <c r="BX174" t="s">
        <v>237</v>
      </c>
      <c r="BY174" s="350">
        <v>97</v>
      </c>
      <c r="BZ174" s="350">
        <v>91</v>
      </c>
      <c r="CA174"/>
      <c r="CE174" s="7"/>
      <c r="CF174" s="16"/>
      <c r="CG174" s="16"/>
      <c r="CJ174" s="501"/>
      <c r="CK174" s="138">
        <f>IF(H37&lt;4,     0,        IF(CN190=1,         IF(CN191=1,    1,    2),             IF(CN191=1,    2,    4)))</f>
        <v>0</v>
      </c>
      <c r="CL174" s="138">
        <f>IF(CK174=0,     0,        IF(CK174=1,          CK174*(BY45+BY47),                  IF(CK174=2,             IF(CN191=1,         CC45+CC47,            CF45+CF47),             CK174*BY104)))</f>
        <v>0</v>
      </c>
      <c r="CM174" s="138">
        <f>IF(CK174=0,     0,        IF(CK174=1,          CK174*BY7,                  IF(CK174=2,             IF(CN191=1,         CC7,            CK174*BX93),             CK174*BX93)))</f>
        <v>0</v>
      </c>
      <c r="CN174" s="138">
        <f>CL174+CM174</f>
        <v>0</v>
      </c>
      <c r="CO174" s="108"/>
      <c r="CP174" s="494" t="str">
        <f>IF($H$15="Imperial",       "Required Cubic Feet",       "Required Cubic Meters")</f>
        <v>Required Cubic Feet</v>
      </c>
      <c r="CQ174" s="494" t="str">
        <f>IF($H$15="Imperial",       "Required Cubic Inches",       "Required Cubic mm")</f>
        <v>Required Cubic Inches</v>
      </c>
      <c r="CR174" s="494" t="str">
        <f>IF(CU2=1,       "Constraint Dimension (Width)",       "Constraint Dimension (Length)")</f>
        <v>Constraint Dimension (Length)</v>
      </c>
      <c r="CS174" s="494" t="str">
        <f>IF(CU2=1,       "(Constraint Width-2endR Width)/midR Width",       "(Constriant Length-2endC length)/midC length")</f>
        <v>(Constriant Length-2endC length)/midC length</v>
      </c>
      <c r="CT174" s="494"/>
      <c r="CU174" s="494" t="str">
        <f>IF(CU2=1,       "RoundDown for Maximum Number of midR",       "RoundDown for Maximum Number of midCs per Row")</f>
        <v>RoundDown for Maximum Number of midCs per Row</v>
      </c>
      <c r="CV174" s="494"/>
      <c r="CW174" s="494" t="str">
        <f>IF(CU2=1,       "Max suggested Number of Rows",      "Maximum Number of Chambers per Row")</f>
        <v>Maximum Number of Chambers per Row</v>
      </c>
      <c r="CX174" s="494"/>
      <c r="CY174" s="493"/>
      <c r="CZ174" s="493"/>
      <c r="DA174" s="6"/>
      <c r="DB174" s="6"/>
      <c r="DC174" s="6"/>
      <c r="DD174" s="6"/>
      <c r="DE174" s="6"/>
      <c r="DF174" s="6"/>
      <c r="DG174" s="6"/>
      <c r="DH174" s="12"/>
      <c r="DI174" s="6"/>
      <c r="DJ174" s="6"/>
      <c r="DK174" s="1"/>
    </row>
    <row r="175" spans="2:115" x14ac:dyDescent="0.25">
      <c r="B175" s="92"/>
      <c r="C175" s="92"/>
      <c r="D175" s="92"/>
      <c r="E175" s="92"/>
      <c r="F175" s="92"/>
      <c r="G175" s="92"/>
      <c r="H175" s="321"/>
      <c r="I175" s="321"/>
      <c r="J175" s="92"/>
      <c r="K175" s="92"/>
      <c r="L175" s="92"/>
      <c r="M175" s="92"/>
      <c r="N175" s="92"/>
      <c r="O175" s="92"/>
      <c r="P175" s="92"/>
      <c r="Q175" s="92"/>
      <c r="R175" s="92"/>
      <c r="S175" s="92"/>
      <c r="T175" s="92"/>
      <c r="U175" s="92"/>
      <c r="V175" s="92"/>
      <c r="W175" s="92"/>
      <c r="X175" s="92"/>
      <c r="Y175" s="92"/>
      <c r="Z175" s="92"/>
      <c r="AA175" s="92"/>
      <c r="AB175" s="92"/>
      <c r="AC175" s="92"/>
      <c r="AD175" s="92"/>
      <c r="AE175" s="92"/>
      <c r="AF175" s="92"/>
      <c r="AG175" s="92"/>
      <c r="AH175" s="92"/>
      <c r="AI175" s="92"/>
      <c r="AJ175" s="92"/>
      <c r="AK175" s="92"/>
      <c r="AL175" s="92"/>
      <c r="AM175" s="92"/>
      <c r="AN175" s="92"/>
      <c r="AO175" s="92"/>
      <c r="AP175" s="92"/>
      <c r="BV175" s="5"/>
      <c r="BW175" s="284" t="s">
        <v>229</v>
      </c>
      <c r="BX175" t="s">
        <v>238</v>
      </c>
      <c r="BY175" s="350">
        <v>77.599999999999994</v>
      </c>
      <c r="BZ175" s="350">
        <v>72.8</v>
      </c>
      <c r="CA175"/>
      <c r="CE175" s="7"/>
      <c r="CF175" s="16"/>
      <c r="CG175" s="16"/>
      <c r="CJ175" s="501" t="s">
        <v>51</v>
      </c>
      <c r="CK175" s="508" t="s">
        <v>43</v>
      </c>
      <c r="CL175" s="501" t="s">
        <v>44</v>
      </c>
      <c r="CM175" s="501" t="s">
        <v>45</v>
      </c>
      <c r="CN175" s="501" t="s">
        <v>46</v>
      </c>
      <c r="CP175" s="494"/>
      <c r="CQ175" s="494"/>
      <c r="CR175" s="494"/>
      <c r="CS175" s="494"/>
      <c r="CT175" s="494"/>
      <c r="CU175" s="494"/>
      <c r="CV175" s="494"/>
      <c r="CW175" s="494"/>
      <c r="CX175" s="494"/>
      <c r="CY175" s="499">
        <f>IF(CU2=1,    IF(H15="Imperial",    IF(CW176=1,    (BY102+H55-(H45/2))/12,   ((2*BY102)+((CW176-2)*BZ102))/12),      IF(CW176=1,     (BY102+H55-(H45/2))/1000,      ((2*BY102)+((CW176-2)*BZ102))/1000)),                            IF(H15="Imperial",          IF(CT183=1,     (BY102+H55-(H45/2))/12,      ((2*BY102)+((CT183-2)*BZ102))/12),             IF(CT183=1,        (BY102+H55-(H45/2))/1000,      ((2*BY102)+((CT183-2)*BZ102))/1000)))</f>
        <v>8.6666666666666661</v>
      </c>
      <c r="CZ175" s="499">
        <f>IF(CU2=1,                 "N/A",                 IF(H15="Imperial",                  IF(CW176=1,                 (BY5+H55+H55)/12,               ((2*BY103)+((CW176-2)*CD103))/12),                                                                                                                              IF(CW176=1,            (BY5+H55+H55)/1000,               ((2*BY103)+((CW176-2)*CD103))/1000)))</f>
        <v>9.25</v>
      </c>
      <c r="DA175" s="6"/>
      <c r="DB175" s="6"/>
      <c r="DC175" s="6"/>
      <c r="DD175" s="6"/>
      <c r="DE175" s="6"/>
      <c r="DF175" s="6"/>
      <c r="DG175" s="6"/>
      <c r="DH175" s="12"/>
      <c r="DI175" s="6"/>
      <c r="DJ175" s="6"/>
      <c r="DK175" s="1"/>
    </row>
    <row r="176" spans="2:115" x14ac:dyDescent="0.25">
      <c r="B176" s="92"/>
      <c r="C176" s="92"/>
      <c r="D176" s="92"/>
      <c r="E176" s="92"/>
      <c r="F176" s="92"/>
      <c r="G176" s="92"/>
      <c r="H176" s="321"/>
      <c r="I176" s="321"/>
      <c r="J176" s="92"/>
      <c r="K176" s="92"/>
      <c r="L176" s="92"/>
      <c r="M176" s="92"/>
      <c r="N176" s="92"/>
      <c r="O176" s="92"/>
      <c r="P176" s="92"/>
      <c r="Q176" s="92"/>
      <c r="R176" s="92"/>
      <c r="S176" s="92"/>
      <c r="T176" s="92"/>
      <c r="U176" s="92"/>
      <c r="V176" s="92"/>
      <c r="W176" s="92"/>
      <c r="X176" s="92"/>
      <c r="Y176" s="92"/>
      <c r="Z176" s="92"/>
      <c r="AA176" s="92"/>
      <c r="AB176" s="92"/>
      <c r="AC176" s="92"/>
      <c r="AD176" s="92"/>
      <c r="AE176" s="92"/>
      <c r="AF176" s="92"/>
      <c r="AG176" s="92"/>
      <c r="AH176" s="92"/>
      <c r="AI176" s="92"/>
      <c r="AJ176" s="92"/>
      <c r="AK176" s="92"/>
      <c r="AL176" s="92"/>
      <c r="AM176" s="92"/>
      <c r="AN176" s="92"/>
      <c r="AO176" s="92"/>
      <c r="AP176" s="92"/>
      <c r="BV176" s="5"/>
      <c r="BW176" s="352"/>
      <c r="BX176" s="127"/>
      <c r="BY176" s="127"/>
      <c r="BZ176" s="127"/>
      <c r="CA176"/>
      <c r="CE176" s="5"/>
      <c r="CF176" s="5"/>
      <c r="CG176" s="5"/>
      <c r="CJ176" s="501"/>
      <c r="CK176" s="508"/>
      <c r="CL176" s="501"/>
      <c r="CM176" s="501"/>
      <c r="CN176" s="501"/>
      <c r="CP176" s="495">
        <f>IF($H$37=1,       0,                 IF($H$37=2,      0,           IF($H$37=3,    0,      $H$17/4)))</f>
        <v>0</v>
      </c>
      <c r="CQ176" s="502">
        <f>IF($H$15="Imperial",         CP176*1728,        CP176*1000000000)</f>
        <v>0</v>
      </c>
      <c r="CR176" s="495">
        <f>IF(H37=4,             H25,                0)</f>
        <v>0</v>
      </c>
      <c r="CS176" s="495">
        <f>IF($H$15="Imperial",                    IF(CU2=1,              ((CR176*12)-(2*BY102))/BZ102,                                    ((CR176*12)-(2*BY103))/CD103),                                                                                                                                                                            IF(CU2=1,                                                                                                                     ((CR176*1000)-(2*BY102))/BZ102,                                ((CR176*1000)-(2*BY103))/CD103))</f>
        <v>-2.4864864864864864</v>
      </c>
      <c r="CT176" s="495"/>
      <c r="CU176" s="495">
        <f>IF(CS176&lt;0,        0,         ROUNDDOWN(CS176,0))</f>
        <v>0</v>
      </c>
      <c r="CV176" s="495"/>
      <c r="CW176" s="495">
        <f>IF(CP176&lt;=BY49,     1,    IF(H15="Imperial",      IF(CU2=1,         IF(CR176&lt;(((2*BY102)/12)),         1,     CU176+2),             IF(CR176&lt;(((2*BY103)/12)),      1,    CU176+2)),                                                                                        IF(CU2=1,                                                                                                IF(CR176&lt;(((2*BY102)/1000)),     1,     CU176+2),             IF(CR176&lt;(((2*BY103)/1000)),       1,     CU176+2))))</f>
        <v>1</v>
      </c>
      <c r="CX176" s="495"/>
      <c r="CY176" s="499"/>
      <c r="CZ176" s="499"/>
      <c r="DA176" s="9"/>
      <c r="DB176" s="9"/>
      <c r="DC176" s="9"/>
      <c r="DD176" s="9"/>
      <c r="DE176" s="9"/>
      <c r="DF176" s="9"/>
      <c r="DG176" s="9"/>
      <c r="DH176" s="12"/>
      <c r="DI176" s="7"/>
      <c r="DJ176" s="7"/>
      <c r="DK176" s="286"/>
    </row>
    <row r="177" spans="2:115" x14ac:dyDescent="0.25">
      <c r="B177" s="92"/>
      <c r="C177" s="92"/>
      <c r="D177" s="92"/>
      <c r="E177" s="92"/>
      <c r="F177" s="92"/>
      <c r="G177" s="92"/>
      <c r="H177" s="321"/>
      <c r="I177" s="321"/>
      <c r="J177" s="92"/>
      <c r="K177" s="92"/>
      <c r="L177" s="92"/>
      <c r="M177" s="92"/>
      <c r="N177" s="92"/>
      <c r="O177" s="92"/>
      <c r="P177" s="92"/>
      <c r="Q177" s="92"/>
      <c r="R177" s="92"/>
      <c r="S177" s="92"/>
      <c r="T177" s="92"/>
      <c r="U177" s="92"/>
      <c r="V177" s="92"/>
      <c r="W177" s="92"/>
      <c r="X177" s="92"/>
      <c r="Y177" s="92"/>
      <c r="Z177" s="92"/>
      <c r="AA177" s="92"/>
      <c r="AB177" s="92"/>
      <c r="AC177" s="92"/>
      <c r="AD177" s="92"/>
      <c r="AE177" s="92"/>
      <c r="AF177" s="92"/>
      <c r="AG177" s="92"/>
      <c r="AH177" s="92"/>
      <c r="AI177" s="92"/>
      <c r="AJ177" s="92"/>
      <c r="AK177" s="92"/>
      <c r="AL177" s="92"/>
      <c r="AM177" s="92"/>
      <c r="AN177" s="92"/>
      <c r="AO177" s="92"/>
      <c r="AP177" s="92"/>
      <c r="BV177" s="7"/>
      <c r="BW177"/>
      <c r="BX177"/>
      <c r="BY177"/>
      <c r="BZ177"/>
      <c r="CA177"/>
      <c r="CE177" s="5"/>
      <c r="CF177" s="5"/>
      <c r="CG177" s="5"/>
      <c r="CJ177" s="501"/>
      <c r="CK177" s="508"/>
      <c r="CL177" s="501"/>
      <c r="CM177" s="501"/>
      <c r="CN177" s="501"/>
      <c r="CP177" s="495"/>
      <c r="CQ177" s="502"/>
      <c r="CR177" s="495"/>
      <c r="CS177" s="495"/>
      <c r="CT177" s="495"/>
      <c r="CU177" s="495"/>
      <c r="CV177" s="495"/>
      <c r="CW177" s="495"/>
      <c r="CX177" s="495"/>
      <c r="CY177" s="159"/>
      <c r="CZ177" s="159"/>
      <c r="DA177" s="9"/>
      <c r="DB177" s="9"/>
      <c r="DC177" s="9"/>
      <c r="DD177" s="9"/>
      <c r="DE177" s="9"/>
      <c r="DF177" s="9"/>
      <c r="DG177" s="9"/>
      <c r="DH177" s="12"/>
      <c r="DI177" s="7"/>
      <c r="DJ177" s="7"/>
      <c r="DK177" s="286"/>
    </row>
    <row r="178" spans="2:115" x14ac:dyDescent="0.25">
      <c r="B178" s="92"/>
      <c r="C178" s="92"/>
      <c r="D178" s="92"/>
      <c r="E178" s="92"/>
      <c r="F178" s="92"/>
      <c r="G178" s="92"/>
      <c r="H178" s="321"/>
      <c r="I178" s="321"/>
      <c r="J178" s="92"/>
      <c r="K178" s="92"/>
      <c r="L178" s="92"/>
      <c r="M178" s="92"/>
      <c r="N178" s="92"/>
      <c r="O178" s="92"/>
      <c r="P178" s="92"/>
      <c r="Q178" s="92"/>
      <c r="R178" s="92"/>
      <c r="S178" s="92"/>
      <c r="T178" s="92"/>
      <c r="U178" s="92"/>
      <c r="V178" s="92"/>
      <c r="W178" s="92"/>
      <c r="X178" s="92"/>
      <c r="Y178" s="92"/>
      <c r="Z178" s="92"/>
      <c r="AA178" s="92"/>
      <c r="AB178" s="92"/>
      <c r="AC178" s="92"/>
      <c r="AD178" s="92"/>
      <c r="AE178" s="92"/>
      <c r="AF178" s="92"/>
      <c r="AG178" s="92"/>
      <c r="AH178" s="92"/>
      <c r="AI178" s="92"/>
      <c r="AJ178" s="92"/>
      <c r="AK178" s="92"/>
      <c r="AL178" s="92"/>
      <c r="AM178" s="92"/>
      <c r="AN178" s="92"/>
      <c r="AO178" s="92"/>
      <c r="AP178" s="92"/>
      <c r="BV178" s="7"/>
      <c r="BW178" s="284" t="s">
        <v>231</v>
      </c>
      <c r="BX178" t="s">
        <v>235</v>
      </c>
      <c r="BY178" s="350">
        <v>41</v>
      </c>
      <c r="BZ178" s="350">
        <v>41</v>
      </c>
      <c r="CA178"/>
      <c r="CE178" s="7"/>
      <c r="CF178" s="6"/>
      <c r="CG178" s="6"/>
      <c r="CJ178" s="501"/>
      <c r="CK178" s="139">
        <f>IF(H37&lt;4,       0,         IF(CS194=0,        0,         IF(CN190=1,        CS194,    2*CS194)))</f>
        <v>0</v>
      </c>
      <c r="CL178" s="266">
        <f>CK178*CD104</f>
        <v>0</v>
      </c>
      <c r="CM178" s="272">
        <f>CK178*CC104</f>
        <v>0</v>
      </c>
      <c r="CN178" s="138">
        <f>IF(CK178=0,           0,                 IF(H15="Imperial",               IF(CR197=1,                CL178+CM178+(CK178*((((H55-(H45/2))*BY100*BY103)/1728)*(H33/100))),                        CL178+CM178),                                                           IF(CR197=1,                                                                                                              CL178+CM178+(CK178*((((H55-(H45/2))*BY100*BY103)/1000000000)*(H33/100))),                   CL178+CM178)))</f>
        <v>0</v>
      </c>
      <c r="CP178" s="493" t="s">
        <v>52</v>
      </c>
      <c r="CQ178" s="493"/>
      <c r="CR178" s="493"/>
      <c r="CS178" s="493"/>
      <c r="CT178" s="493"/>
      <c r="CU178" s="493"/>
      <c r="CV178" s="493"/>
      <c r="CW178" s="493"/>
      <c r="CX178" s="493"/>
      <c r="CY178" s="159"/>
      <c r="CZ178" s="159"/>
      <c r="DA178" s="6"/>
      <c r="DB178" s="6"/>
      <c r="DC178" s="6"/>
      <c r="DD178" s="6"/>
      <c r="DE178" s="6"/>
      <c r="DF178" s="6"/>
      <c r="DG178" s="6"/>
      <c r="DH178" s="6"/>
      <c r="DI178" s="6"/>
      <c r="DJ178" s="6"/>
      <c r="DK178" s="10"/>
    </row>
    <row r="179" spans="2:115" x14ac:dyDescent="0.25">
      <c r="B179" s="92"/>
      <c r="C179" s="92"/>
      <c r="D179" s="92"/>
      <c r="E179" s="92"/>
      <c r="F179" s="92"/>
      <c r="G179" s="92"/>
      <c r="H179" s="321"/>
      <c r="I179" s="321"/>
      <c r="J179" s="92"/>
      <c r="K179" s="92"/>
      <c r="L179" s="92"/>
      <c r="M179" s="92"/>
      <c r="N179" s="92"/>
      <c r="O179" s="92"/>
      <c r="P179" s="92"/>
      <c r="Q179" s="92"/>
      <c r="R179" s="92"/>
      <c r="S179" s="92"/>
      <c r="T179" s="92"/>
      <c r="U179" s="92"/>
      <c r="V179" s="92"/>
      <c r="W179" s="92"/>
      <c r="X179" s="92"/>
      <c r="Y179" s="92"/>
      <c r="Z179" s="92"/>
      <c r="AA179" s="92"/>
      <c r="AB179" s="92"/>
      <c r="AC179" s="92"/>
      <c r="AD179" s="92"/>
      <c r="AE179" s="92"/>
      <c r="AF179" s="92"/>
      <c r="AG179" s="92"/>
      <c r="AH179" s="92"/>
      <c r="AI179" s="92"/>
      <c r="AJ179" s="92"/>
      <c r="AK179" s="92"/>
      <c r="AL179" s="92"/>
      <c r="AM179" s="92"/>
      <c r="AN179" s="92"/>
      <c r="AO179" s="92"/>
      <c r="AP179" s="92"/>
      <c r="BV179" s="5"/>
      <c r="BW179" s="284" t="s">
        <v>231</v>
      </c>
      <c r="BX179" t="s">
        <v>236</v>
      </c>
      <c r="BY179" s="350">
        <v>80</v>
      </c>
      <c r="BZ179" s="350">
        <v>80</v>
      </c>
      <c r="CA179"/>
      <c r="CE179" s="7"/>
      <c r="CF179" s="6"/>
      <c r="CG179" s="6"/>
      <c r="CJ179" s="501" t="s">
        <v>61</v>
      </c>
      <c r="CK179" s="508" t="s">
        <v>43</v>
      </c>
      <c r="CL179" s="501" t="s">
        <v>44</v>
      </c>
      <c r="CM179" s="501" t="s">
        <v>45</v>
      </c>
      <c r="CN179" s="501" t="s">
        <v>46</v>
      </c>
      <c r="CP179" s="493"/>
      <c r="CQ179" s="493"/>
      <c r="CR179" s="493"/>
      <c r="CS179" s="493"/>
      <c r="CT179" s="493"/>
      <c r="CU179" s="493"/>
      <c r="CV179" s="493"/>
      <c r="CW179" s="493"/>
      <c r="CX179" s="493"/>
      <c r="CY179" s="159"/>
      <c r="CZ179" s="159"/>
      <c r="DA179" s="6"/>
      <c r="DB179" s="6"/>
      <c r="DC179" s="6"/>
      <c r="DD179" s="6"/>
      <c r="DE179" s="6"/>
      <c r="DF179" s="6"/>
      <c r="DG179" s="6"/>
      <c r="DH179" s="6"/>
      <c r="DI179" s="6"/>
      <c r="DJ179" s="6"/>
      <c r="DK179" s="319"/>
    </row>
    <row r="180" spans="2:115" x14ac:dyDescent="0.25">
      <c r="B180" s="92"/>
      <c r="C180" s="92"/>
      <c r="D180" s="92"/>
      <c r="E180" s="92"/>
      <c r="F180" s="92"/>
      <c r="G180" s="92"/>
      <c r="H180" s="321"/>
      <c r="I180" s="321"/>
      <c r="J180" s="92"/>
      <c r="K180" s="92"/>
      <c r="L180" s="92"/>
      <c r="M180" s="92"/>
      <c r="N180" s="92"/>
      <c r="O180" s="92"/>
      <c r="P180" s="92"/>
      <c r="Q180" s="92"/>
      <c r="R180" s="92"/>
      <c r="S180" s="92"/>
      <c r="T180" s="92"/>
      <c r="U180" s="92"/>
      <c r="V180" s="92"/>
      <c r="W180" s="92"/>
      <c r="X180" s="92"/>
      <c r="Y180" s="92"/>
      <c r="Z180" s="92"/>
      <c r="AA180" s="92"/>
      <c r="AB180" s="92"/>
      <c r="AC180" s="92"/>
      <c r="AD180" s="92"/>
      <c r="AE180" s="92"/>
      <c r="AF180" s="92"/>
      <c r="AG180" s="92"/>
      <c r="AH180" s="92"/>
      <c r="AI180" s="92"/>
      <c r="AJ180" s="92"/>
      <c r="AK180" s="92"/>
      <c r="AL180" s="92"/>
      <c r="AM180" s="92"/>
      <c r="AN180" s="92"/>
      <c r="AO180" s="92"/>
      <c r="AP180" s="92"/>
      <c r="BV180" s="5"/>
      <c r="BW180" s="284" t="s">
        <v>231</v>
      </c>
      <c r="BX180" t="s">
        <v>237</v>
      </c>
      <c r="BY180" s="350">
        <v>80</v>
      </c>
      <c r="BZ180" s="350">
        <v>74</v>
      </c>
      <c r="CA180"/>
      <c r="CE180" s="5"/>
      <c r="CF180" s="6"/>
      <c r="CG180" s="6"/>
      <c r="CJ180" s="501"/>
      <c r="CK180" s="508"/>
      <c r="CL180" s="501"/>
      <c r="CM180" s="501"/>
      <c r="CN180" s="501"/>
      <c r="CP180" s="494" t="str">
        <f>IF(CU2=1,    "",      "number of endCs per fullR*endRendCvolumes")</f>
        <v>number of endCs per fullR*endRendCvolumes</v>
      </c>
      <c r="CQ180" s="494" t="str">
        <f>IF(CU2=1,       "",      "Max number of midC per fullR*endRmidC Volume")</f>
        <v>Max number of midC per fullR*endRmidC Volume</v>
      </c>
      <c r="CR180" s="494"/>
      <c r="CS180" s="494" t="str">
        <f>IF(CU2=1,     "",      "Number of End Rows")</f>
        <v>Number of End Rows</v>
      </c>
      <c r="CT180" s="494" t="str">
        <f>IF(CU2=1,        "",     "min number of rows suggested")</f>
        <v>min number of rows suggested</v>
      </c>
      <c r="CU180" s="494"/>
      <c r="CV180" s="493" t="s">
        <v>56</v>
      </c>
      <c r="CW180" s="493"/>
      <c r="CX180" s="493"/>
      <c r="CY180" s="159"/>
      <c r="CZ180" s="159"/>
      <c r="DA180" s="9"/>
      <c r="DB180" s="9"/>
      <c r="DC180" s="9"/>
      <c r="DD180" s="9"/>
      <c r="DE180" s="9"/>
      <c r="DF180" s="9"/>
      <c r="DG180" s="9"/>
      <c r="DH180" s="9"/>
      <c r="DI180" s="1"/>
      <c r="DJ180" s="1"/>
      <c r="DK180" s="319"/>
    </row>
    <row r="181" spans="2:115" x14ac:dyDescent="0.25">
      <c r="B181" s="92"/>
      <c r="C181" s="92"/>
      <c r="D181" s="92"/>
      <c r="E181" s="92"/>
      <c r="F181" s="92"/>
      <c r="G181" s="92"/>
      <c r="H181" s="321"/>
      <c r="I181" s="321"/>
      <c r="J181" s="92"/>
      <c r="K181" s="92"/>
      <c r="L181" s="92"/>
      <c r="M181" s="92"/>
      <c r="N181" s="92"/>
      <c r="O181" s="92"/>
      <c r="P181" s="92"/>
      <c r="Q181" s="92"/>
      <c r="R181" s="92"/>
      <c r="S181" s="92"/>
      <c r="T181" s="92"/>
      <c r="U181" s="92"/>
      <c r="V181" s="92"/>
      <c r="W181" s="92"/>
      <c r="X181" s="92"/>
      <c r="Y181" s="92"/>
      <c r="Z181" s="92"/>
      <c r="AA181" s="92"/>
      <c r="AB181" s="92"/>
      <c r="AC181" s="92"/>
      <c r="AD181" s="92"/>
      <c r="AE181" s="92"/>
      <c r="AF181" s="92"/>
      <c r="AG181" s="92"/>
      <c r="AH181" s="92"/>
      <c r="AI181" s="92"/>
      <c r="AJ181" s="92"/>
      <c r="AK181" s="92"/>
      <c r="AL181" s="92"/>
      <c r="AM181" s="92"/>
      <c r="AN181" s="92"/>
      <c r="AO181" s="92"/>
      <c r="AP181" s="92"/>
      <c r="BV181" s="7"/>
      <c r="BW181" s="284" t="s">
        <v>231</v>
      </c>
      <c r="BX181" t="s">
        <v>238</v>
      </c>
      <c r="BY181" s="350">
        <v>93.05</v>
      </c>
      <c r="BZ181" s="355">
        <v>88</v>
      </c>
      <c r="CA181"/>
      <c r="CE181" s="5"/>
      <c r="CF181" s="6"/>
      <c r="CG181" s="6"/>
      <c r="CJ181" s="501"/>
      <c r="CK181" s="508"/>
      <c r="CL181" s="501"/>
      <c r="CM181" s="501"/>
      <c r="CN181" s="501"/>
      <c r="CP181" s="494"/>
      <c r="CQ181" s="494"/>
      <c r="CR181" s="494"/>
      <c r="CS181" s="494"/>
      <c r="CT181" s="494"/>
      <c r="CU181" s="494"/>
      <c r="CV181" s="493"/>
      <c r="CW181" s="493"/>
      <c r="CX181" s="493"/>
      <c r="CY181" s="159"/>
      <c r="CZ181" s="159"/>
      <c r="DA181" s="9"/>
      <c r="DB181" s="9"/>
      <c r="DC181" s="9"/>
      <c r="DD181" s="9"/>
      <c r="DE181" s="9"/>
      <c r="DF181" s="9"/>
      <c r="DG181" s="9"/>
      <c r="DH181" s="9"/>
      <c r="DI181" s="1"/>
      <c r="DJ181" s="1"/>
      <c r="DK181" s="319"/>
    </row>
    <row r="182" spans="2:115" x14ac:dyDescent="0.25">
      <c r="B182" s="92"/>
      <c r="C182" s="92"/>
      <c r="D182" s="92"/>
      <c r="E182" s="92"/>
      <c r="F182" s="92"/>
      <c r="G182" s="92"/>
      <c r="H182" s="321"/>
      <c r="I182" s="321"/>
      <c r="J182" s="92"/>
      <c r="K182" s="92"/>
      <c r="L182" s="92"/>
      <c r="M182" s="92"/>
      <c r="N182" s="92"/>
      <c r="O182" s="92"/>
      <c r="P182" s="92"/>
      <c r="Q182" s="92"/>
      <c r="R182" s="92"/>
      <c r="S182" s="92"/>
      <c r="T182" s="92"/>
      <c r="U182" s="92"/>
      <c r="V182" s="92"/>
      <c r="W182" s="92"/>
      <c r="X182" s="92"/>
      <c r="Y182" s="92"/>
      <c r="Z182" s="92"/>
      <c r="AA182" s="92"/>
      <c r="AB182" s="92"/>
      <c r="AC182" s="92"/>
      <c r="AD182" s="92"/>
      <c r="AE182" s="92"/>
      <c r="AF182" s="92"/>
      <c r="AG182" s="92"/>
      <c r="AH182" s="92"/>
      <c r="AI182" s="92"/>
      <c r="AJ182" s="92"/>
      <c r="AK182" s="92"/>
      <c r="AL182" s="92"/>
      <c r="AM182" s="92"/>
      <c r="AN182" s="92"/>
      <c r="AO182" s="92"/>
      <c r="AP182" s="92"/>
      <c r="BV182" s="7"/>
      <c r="CA182" s="5"/>
      <c r="CB182" s="7"/>
      <c r="CC182" s="7"/>
      <c r="CD182" s="7"/>
      <c r="CE182" s="7"/>
      <c r="CF182" s="6"/>
      <c r="CG182" s="6"/>
      <c r="CJ182" s="501"/>
      <c r="CK182" s="139">
        <f>IF(H37&lt;4,     0,            IF(CS189=0,     0,             IF(CR198=1,                  CS189,          2*CS189)))</f>
        <v>0</v>
      </c>
      <c r="CL182" s="266">
        <f>IF(CK182=0,       0,             IF(CN191=1,         CK182*(BY45+BY47),            CK182*BZ104))</f>
        <v>0</v>
      </c>
      <c r="CM182" s="272">
        <f>IF(CK182=0,     0,          IF(CN191=1,          CK182*BY7,          CK182*BX104))</f>
        <v>0</v>
      </c>
      <c r="CN182" s="138">
        <f>CL182+CM182</f>
        <v>0</v>
      </c>
      <c r="CP182" s="494"/>
      <c r="CQ182" s="494"/>
      <c r="CR182" s="494"/>
      <c r="CS182" s="494"/>
      <c r="CT182" s="494"/>
      <c r="CU182" s="494"/>
      <c r="CV182" s="493"/>
      <c r="CW182" s="493"/>
      <c r="CX182" s="493"/>
      <c r="CY182" s="159"/>
      <c r="CZ182" s="159"/>
      <c r="DA182" s="6"/>
      <c r="DB182" s="6"/>
      <c r="DC182" s="6"/>
      <c r="DD182" s="6"/>
      <c r="DE182" s="6"/>
      <c r="DF182" s="6"/>
      <c r="DG182" s="6"/>
      <c r="DH182" s="9"/>
      <c r="DI182" s="9"/>
      <c r="DJ182" s="9"/>
      <c r="DK182" s="319"/>
    </row>
    <row r="183" spans="2:115" x14ac:dyDescent="0.25">
      <c r="B183" s="92"/>
      <c r="C183" s="92"/>
      <c r="D183" s="92"/>
      <c r="E183" s="92"/>
      <c r="F183" s="92"/>
      <c r="G183" s="92"/>
      <c r="H183" s="321"/>
      <c r="I183" s="321"/>
      <c r="J183" s="92"/>
      <c r="K183" s="92"/>
      <c r="L183" s="92"/>
      <c r="M183" s="92"/>
      <c r="N183" s="92"/>
      <c r="O183" s="92"/>
      <c r="P183" s="92"/>
      <c r="Q183" s="92"/>
      <c r="R183" s="92"/>
      <c r="S183" s="92"/>
      <c r="T183" s="92"/>
      <c r="U183" s="92"/>
      <c r="V183" s="92"/>
      <c r="W183" s="92"/>
      <c r="X183" s="92"/>
      <c r="Y183" s="92"/>
      <c r="Z183" s="92"/>
      <c r="AA183" s="92"/>
      <c r="AB183" s="92"/>
      <c r="AC183" s="92"/>
      <c r="AD183" s="92"/>
      <c r="AE183" s="92"/>
      <c r="AF183" s="92"/>
      <c r="AG183" s="92"/>
      <c r="AH183" s="92"/>
      <c r="AI183" s="92"/>
      <c r="AJ183" s="92"/>
      <c r="AK183" s="92"/>
      <c r="AL183" s="92"/>
      <c r="AM183" s="92"/>
      <c r="AN183" s="92"/>
      <c r="AO183" s="92"/>
      <c r="AP183" s="92"/>
      <c r="BV183" s="5"/>
      <c r="BW183" s="5"/>
      <c r="BX183"/>
      <c r="BY183" s="341" t="s">
        <v>138</v>
      </c>
      <c r="BZ183" s="351" t="s">
        <v>139</v>
      </c>
      <c r="CA183" s="5"/>
      <c r="CB183" s="5"/>
      <c r="CC183" s="5"/>
      <c r="CD183" s="5"/>
      <c r="CE183" s="7"/>
      <c r="CF183" s="6"/>
      <c r="CG183" s="6"/>
      <c r="CJ183" s="501" t="s">
        <v>223</v>
      </c>
      <c r="CK183" s="508" t="s">
        <v>43</v>
      </c>
      <c r="CL183" s="501" t="s">
        <v>44</v>
      </c>
      <c r="CM183" s="501" t="s">
        <v>45</v>
      </c>
      <c r="CN183" s="501" t="s">
        <v>46</v>
      </c>
      <c r="CP183" s="495">
        <f>IF(CU2=1,         0,             IF(H15="Imperial",                     IF(CW176=1,            (BY7+BY45)+(((H55*BY100*(BY102))/1728)*(H33/100)),               2*CA104),                                                                                                                                                                                                                                          IF(CW176=1,                                         (BY7+BY45)+(((H55*BY100*(BY102))/1000000000)*(H33/100)),            2*CA104)))</f>
        <v>58.715999999999994</v>
      </c>
      <c r="CQ183" s="495">
        <f>IF(CU2=1,     0,      IF(CU176=0,       0,      CU176*CF104))</f>
        <v>0</v>
      </c>
      <c r="CR183" s="495"/>
      <c r="CS183" s="495">
        <f>IF(CU2=1,          0,        IF(CW176=1,                  IF(CP176&lt;=BY49,     1,              2),                    IF(CW176=2,                  IF(CP176&lt;=CF49,         1,              2),                                                                                                                                 IF(H15="Imperial",          IF(CP176&lt;=((2*(CA104+(((BY100*(H55-(H45/2))*(BY102+H55))/1728)*(H33/100))+(CU176*(CF104+(((CD100*(H55-(H45/2))*CD103)/1728)*(H33/100))))))),          1,             2),                                                                                                                               IF(CP176&lt;=((2*(CA104+(((BY100*(H55-(H45/2))*(BY102+H55))/1000000000)*(H33/100))+(CU176*(CF104+(((CD100*(H55-(H45/2))*CD103)/1000000000)*(H33/100))))))),             1,             2)))))</f>
        <v>1</v>
      </c>
      <c r="CT183" s="495">
        <f>IF(CU2=1,                0,            IF(CP176&lt;=(2*(CP183+CQ183)),                   CS183,               IF(CW176=1,              (ROUNDUP((CP176-(2*(CP183+CQ183)))/(CG55),0))+2,                                                                                       IF(CW176=2,                    (ROUNDUP((CP176-(2*(CP183+CQ183)))/(2*CB104),0)+2),            (ROUNDUP((CP176-(2*(CP183+CQ183)))/((CU176*CG104)+(2*CB104)),0)+2)))))</f>
        <v>1</v>
      </c>
      <c r="CU183" s="495"/>
      <c r="CV183" s="493"/>
      <c r="CW183" s="493"/>
      <c r="CX183" s="493"/>
      <c r="CY183" s="159"/>
      <c r="CZ183" s="159"/>
      <c r="DA183" s="6"/>
      <c r="DB183" s="6"/>
      <c r="DC183" s="6"/>
      <c r="DD183" s="6"/>
      <c r="DE183" s="6"/>
      <c r="DF183" s="6"/>
      <c r="DG183" s="6"/>
      <c r="DH183" s="9"/>
      <c r="DI183" s="9"/>
      <c r="DJ183" s="9"/>
      <c r="DK183" s="1"/>
    </row>
    <row r="184" spans="2:115" x14ac:dyDescent="0.25">
      <c r="B184" s="92"/>
      <c r="C184" s="92"/>
      <c r="D184" s="92"/>
      <c r="E184" s="92"/>
      <c r="F184" s="92"/>
      <c r="G184" s="92"/>
      <c r="H184" s="321"/>
      <c r="I184" s="321"/>
      <c r="J184" s="92"/>
      <c r="K184" s="92"/>
      <c r="L184" s="92"/>
      <c r="M184" s="92"/>
      <c r="N184" s="92"/>
      <c r="O184" s="92"/>
      <c r="P184" s="92"/>
      <c r="Q184" s="92"/>
      <c r="R184" s="92"/>
      <c r="S184" s="92"/>
      <c r="T184" s="92"/>
      <c r="U184" s="92"/>
      <c r="V184" s="92"/>
      <c r="W184" s="92"/>
      <c r="X184" s="92"/>
      <c r="Y184" s="92"/>
      <c r="Z184" s="92"/>
      <c r="AA184" s="92"/>
      <c r="AB184" s="92"/>
      <c r="AC184" s="92"/>
      <c r="AD184" s="92"/>
      <c r="AE184" s="92"/>
      <c r="AF184" s="92"/>
      <c r="AG184" s="92"/>
      <c r="AH184" s="92"/>
      <c r="AI184" s="92"/>
      <c r="AJ184" s="92"/>
      <c r="AK184" s="92"/>
      <c r="AL184" s="92"/>
      <c r="AM184" s="92"/>
      <c r="AN184" s="92"/>
      <c r="AO184" s="92"/>
      <c r="AP184" s="92"/>
      <c r="BV184" s="5"/>
      <c r="BW184" s="284" t="s">
        <v>63</v>
      </c>
      <c r="BX184" s="127" t="s">
        <v>240</v>
      </c>
      <c r="BY184" s="350">
        <v>457</v>
      </c>
      <c r="BZ184" s="350">
        <v>457</v>
      </c>
      <c r="CA184" s="5"/>
      <c r="CB184" s="5"/>
      <c r="CC184" s="5"/>
      <c r="CD184" s="5"/>
      <c r="CE184" s="5"/>
      <c r="CF184" s="5"/>
      <c r="CG184" s="5"/>
      <c r="CJ184" s="501"/>
      <c r="CK184" s="508"/>
      <c r="CL184" s="501"/>
      <c r="CM184" s="501"/>
      <c r="CN184" s="501"/>
      <c r="CP184" s="495"/>
      <c r="CQ184" s="495"/>
      <c r="CR184" s="495"/>
      <c r="CS184" s="495"/>
      <c r="CT184" s="495"/>
      <c r="CU184" s="495"/>
      <c r="CV184" s="493"/>
      <c r="CW184" s="493"/>
      <c r="CX184" s="493"/>
      <c r="CY184" s="159"/>
      <c r="CZ184" s="159"/>
      <c r="DA184" s="290"/>
      <c r="DB184" s="290"/>
      <c r="DC184" s="9"/>
      <c r="DD184" s="9"/>
      <c r="DE184" s="9"/>
      <c r="DF184" s="9"/>
      <c r="DG184" s="290"/>
      <c r="DH184" s="9"/>
      <c r="DI184" s="9"/>
      <c r="DJ184" s="9"/>
      <c r="DK184" s="1"/>
    </row>
    <row r="185" spans="2:115" x14ac:dyDescent="0.25">
      <c r="B185" s="92"/>
      <c r="C185" s="92"/>
      <c r="D185" s="92"/>
      <c r="E185" s="92"/>
      <c r="F185" s="92"/>
      <c r="G185" s="92"/>
      <c r="H185" s="321"/>
      <c r="I185" s="321"/>
      <c r="J185" s="92"/>
      <c r="K185" s="92"/>
      <c r="L185" s="92"/>
      <c r="M185" s="92"/>
      <c r="N185" s="92"/>
      <c r="O185" s="92"/>
      <c r="P185" s="92"/>
      <c r="Q185" s="92"/>
      <c r="R185" s="92"/>
      <c r="S185" s="92"/>
      <c r="T185" s="92"/>
      <c r="U185" s="92"/>
      <c r="V185" s="92"/>
      <c r="W185" s="92"/>
      <c r="X185" s="92"/>
      <c r="Y185" s="92"/>
      <c r="Z185" s="92"/>
      <c r="AA185" s="92"/>
      <c r="AB185" s="92"/>
      <c r="AC185" s="92"/>
      <c r="AD185" s="92"/>
      <c r="AE185" s="92"/>
      <c r="AF185" s="92"/>
      <c r="AG185" s="92"/>
      <c r="AH185" s="92"/>
      <c r="AI185" s="92"/>
      <c r="AJ185" s="92"/>
      <c r="AK185" s="92"/>
      <c r="AL185" s="92"/>
      <c r="AM185" s="92"/>
      <c r="AN185" s="92"/>
      <c r="AO185" s="92"/>
      <c r="AP185" s="92"/>
      <c r="BV185" s="5"/>
      <c r="BW185" s="284" t="s">
        <v>63</v>
      </c>
      <c r="BX185" s="127" t="s">
        <v>241</v>
      </c>
      <c r="BY185" s="350">
        <v>965.2</v>
      </c>
      <c r="BZ185" s="350">
        <v>965.2</v>
      </c>
      <c r="CA185" s="7"/>
      <c r="CB185" s="5"/>
      <c r="CC185" s="5"/>
      <c r="CD185" s="5"/>
      <c r="CE185" s="5"/>
      <c r="CF185" s="5"/>
      <c r="CG185" s="5"/>
      <c r="CJ185" s="501"/>
      <c r="CK185" s="508"/>
      <c r="CL185" s="501"/>
      <c r="CM185" s="501"/>
      <c r="CN185" s="501"/>
      <c r="CP185" s="495" t="s">
        <v>68</v>
      </c>
      <c r="CQ185" s="495"/>
      <c r="CR185" s="495"/>
      <c r="CS185" s="495"/>
      <c r="CT185" s="495"/>
      <c r="CU185" s="495"/>
      <c r="CV185" s="495"/>
      <c r="CW185" s="495"/>
      <c r="CX185" s="495"/>
      <c r="CY185" s="159"/>
      <c r="CZ185" s="159"/>
    </row>
    <row r="186" spans="2:115" x14ac:dyDescent="0.25">
      <c r="B186" s="92"/>
      <c r="C186" s="92"/>
      <c r="D186" s="92"/>
      <c r="E186" s="92"/>
      <c r="F186" s="92"/>
      <c r="G186" s="92"/>
      <c r="H186" s="321"/>
      <c r="I186" s="321"/>
      <c r="J186" s="92"/>
      <c r="K186" s="92"/>
      <c r="L186" s="92"/>
      <c r="M186" s="92"/>
      <c r="N186" s="92"/>
      <c r="O186" s="92"/>
      <c r="P186" s="92"/>
      <c r="Q186" s="92"/>
      <c r="R186" s="92"/>
      <c r="S186" s="92"/>
      <c r="T186" s="92"/>
      <c r="U186" s="92"/>
      <c r="V186" s="92"/>
      <c r="W186" s="92"/>
      <c r="X186" s="92"/>
      <c r="Y186" s="92"/>
      <c r="Z186" s="92"/>
      <c r="AA186" s="92"/>
      <c r="AB186" s="92"/>
      <c r="AC186" s="92"/>
      <c r="AD186" s="92"/>
      <c r="AE186" s="92"/>
      <c r="AF186" s="92"/>
      <c r="AG186" s="92"/>
      <c r="AH186" s="92"/>
      <c r="AI186" s="92"/>
      <c r="AJ186" s="92"/>
      <c r="AK186" s="92"/>
      <c r="AL186" s="92"/>
      <c r="AM186" s="92"/>
      <c r="AN186" s="92"/>
      <c r="AO186" s="92"/>
      <c r="AP186" s="92"/>
      <c r="BV186" s="7"/>
      <c r="BW186" s="284" t="s">
        <v>63</v>
      </c>
      <c r="BX186" s="127" t="s">
        <v>242</v>
      </c>
      <c r="BY186" s="350">
        <v>2438.4</v>
      </c>
      <c r="BZ186" s="350">
        <v>2317.75</v>
      </c>
      <c r="CA186" s="7"/>
      <c r="CB186" s="7"/>
      <c r="CC186" s="7"/>
      <c r="CD186" s="7"/>
      <c r="CE186" s="5"/>
      <c r="CF186" s="5"/>
      <c r="CG186" s="5"/>
      <c r="CJ186" s="501"/>
      <c r="CK186" s="140">
        <f>IF(H37&lt;4,       0,         IF(CS189=0,         0,          IF(CS194=0,          0,          CS189*CS194)))</f>
        <v>0</v>
      </c>
      <c r="CL186" s="272">
        <f>CK186*CE104</f>
        <v>0</v>
      </c>
      <c r="CM186" s="272">
        <f>CK186*CC104</f>
        <v>0</v>
      </c>
      <c r="CN186" s="138">
        <f>CL186+CM186</f>
        <v>0</v>
      </c>
      <c r="CP186" s="496" t="s">
        <v>72</v>
      </c>
      <c r="CQ186" s="496" t="s">
        <v>226</v>
      </c>
      <c r="CR186" s="496" t="s">
        <v>73</v>
      </c>
      <c r="CS186" s="498" t="s">
        <v>74</v>
      </c>
      <c r="CT186" s="498" t="s">
        <v>75</v>
      </c>
      <c r="CU186" s="498"/>
      <c r="CV186" s="498" t="s">
        <v>76</v>
      </c>
      <c r="CW186" s="495"/>
      <c r="CX186" s="496" t="s">
        <v>78</v>
      </c>
      <c r="CY186" s="496"/>
      <c r="CZ186" s="496"/>
    </row>
    <row r="187" spans="2:115" ht="23.25" x14ac:dyDescent="0.25">
      <c r="B187" s="92"/>
      <c r="C187" s="92"/>
      <c r="D187" s="92"/>
      <c r="E187" s="92"/>
      <c r="F187" s="92"/>
      <c r="G187" s="92"/>
      <c r="H187" s="321"/>
      <c r="I187" s="321"/>
      <c r="J187" s="92"/>
      <c r="K187" s="92"/>
      <c r="L187" s="92"/>
      <c r="M187" s="92"/>
      <c r="N187" s="92"/>
      <c r="O187" s="92"/>
      <c r="P187" s="92"/>
      <c r="Q187" s="92"/>
      <c r="R187" s="92"/>
      <c r="S187" s="92"/>
      <c r="T187" s="92"/>
      <c r="U187" s="92"/>
      <c r="V187" s="92"/>
      <c r="W187" s="92"/>
      <c r="X187" s="92"/>
      <c r="Y187" s="92"/>
      <c r="Z187" s="92"/>
      <c r="AA187" s="92"/>
      <c r="AB187" s="92"/>
      <c r="AC187" s="92"/>
      <c r="AD187" s="92"/>
      <c r="AE187" s="92"/>
      <c r="AF187" s="92"/>
      <c r="AG187" s="92"/>
      <c r="AH187" s="92"/>
      <c r="AI187" s="92"/>
      <c r="AJ187" s="92"/>
      <c r="AK187" s="92"/>
      <c r="AL187" s="92"/>
      <c r="AM187" s="92"/>
      <c r="AN187" s="92"/>
      <c r="AO187" s="92"/>
      <c r="AP187" s="92"/>
      <c r="BV187" s="7"/>
      <c r="BW187" s="284" t="s">
        <v>63</v>
      </c>
      <c r="BX187" s="127" t="s">
        <v>243</v>
      </c>
      <c r="BY187" s="350">
        <v>0.64</v>
      </c>
      <c r="BZ187" s="350">
        <v>0.6</v>
      </c>
      <c r="CA187" s="2"/>
      <c r="CB187" s="7"/>
      <c r="CC187" s="7"/>
      <c r="CD187" s="7"/>
      <c r="CE187" s="7"/>
      <c r="CF187" s="7"/>
      <c r="CG187" s="7"/>
      <c r="CJ187" s="276" t="s">
        <v>80</v>
      </c>
      <c r="CK187" s="289">
        <f>CK174+CK178+CK182+CK186</f>
        <v>0</v>
      </c>
      <c r="CL187" s="289">
        <f>CL174+CL178+CL182+CL186</f>
        <v>0</v>
      </c>
      <c r="CM187" s="289">
        <f>CM174+CM178+CM182+CM186</f>
        <v>0</v>
      </c>
      <c r="CN187" s="289">
        <f>CN174+CN178+CN182+CN186</f>
        <v>0</v>
      </c>
      <c r="CP187" s="496"/>
      <c r="CQ187" s="496"/>
      <c r="CR187" s="496"/>
      <c r="CS187" s="498"/>
      <c r="CT187" s="498"/>
      <c r="CU187" s="498"/>
      <c r="CV187" s="498"/>
      <c r="CW187" s="495"/>
      <c r="CX187" s="496"/>
      <c r="CY187" s="496"/>
      <c r="CZ187" s="496"/>
    </row>
    <row r="188" spans="2:115" ht="23.25" x14ac:dyDescent="0.25">
      <c r="B188" s="92"/>
      <c r="C188" s="92"/>
      <c r="D188" s="92"/>
      <c r="E188" s="92"/>
      <c r="F188" s="92"/>
      <c r="G188" s="92"/>
      <c r="H188" s="321"/>
      <c r="I188" s="321"/>
      <c r="J188" s="92"/>
      <c r="K188" s="92"/>
      <c r="L188" s="92"/>
      <c r="M188" s="92"/>
      <c r="N188" s="92"/>
      <c r="O188" s="92"/>
      <c r="P188" s="92"/>
      <c r="Q188" s="92"/>
      <c r="R188" s="92"/>
      <c r="S188" s="92"/>
      <c r="T188" s="92"/>
      <c r="U188" s="92"/>
      <c r="V188" s="92"/>
      <c r="W188" s="92"/>
      <c r="X188" s="92"/>
      <c r="Y188" s="92"/>
      <c r="Z188" s="92"/>
      <c r="AA188" s="92"/>
      <c r="AB188" s="92"/>
      <c r="AC188" s="92"/>
      <c r="AD188" s="92"/>
      <c r="AE188" s="92"/>
      <c r="AF188" s="92"/>
      <c r="AG188" s="92"/>
      <c r="AH188" s="92"/>
      <c r="AI188" s="92"/>
      <c r="AJ188" s="92"/>
      <c r="AK188" s="92"/>
      <c r="AL188" s="92"/>
      <c r="AM188" s="92"/>
      <c r="AN188" s="92"/>
      <c r="AO188" s="92"/>
      <c r="AP188" s="92"/>
      <c r="BV188" s="2"/>
      <c r="BW188" s="352"/>
      <c r="BX188"/>
      <c r="BY188" s="127"/>
      <c r="BZ188" s="354"/>
      <c r="CA188" s="2"/>
      <c r="CB188" s="2"/>
      <c r="CC188" s="2"/>
      <c r="CD188" s="2"/>
      <c r="CE188" s="7"/>
      <c r="CF188" s="7"/>
      <c r="CG188" s="7"/>
      <c r="CJ188" s="107"/>
      <c r="CK188" s="10"/>
      <c r="CL188" s="95"/>
      <c r="CM188" s="95"/>
      <c r="CN188" s="104"/>
      <c r="CP188" s="496"/>
      <c r="CQ188" s="496"/>
      <c r="CR188" s="496"/>
      <c r="CS188" s="498"/>
      <c r="CT188" s="498"/>
      <c r="CU188" s="498"/>
      <c r="CV188" s="498"/>
      <c r="CW188" s="495"/>
      <c r="CX188" s="496" t="str">
        <f>IF(CU2=1,      "Maximum Number of Rows",                 "Minimum Number of Rows")</f>
        <v>Minimum Number of Rows</v>
      </c>
      <c r="CY188" s="496"/>
      <c r="CZ188" s="498" t="str">
        <f>IF(CU2=1,             "N/A",                "Maximum Number of Chambers per Full Row")</f>
        <v>Maximum Number of Chambers per Full Row</v>
      </c>
    </row>
    <row r="189" spans="2:115" ht="23.25" x14ac:dyDescent="0.25">
      <c r="B189" s="92"/>
      <c r="C189" s="92"/>
      <c r="D189" s="92"/>
      <c r="E189" s="92"/>
      <c r="F189" s="92"/>
      <c r="G189" s="92"/>
      <c r="H189" s="321"/>
      <c r="I189" s="321"/>
      <c r="J189" s="92"/>
      <c r="K189" s="92"/>
      <c r="L189" s="92"/>
      <c r="M189" s="92"/>
      <c r="N189" s="92"/>
      <c r="O189" s="92"/>
      <c r="P189" s="92"/>
      <c r="Q189" s="92"/>
      <c r="R189" s="92"/>
      <c r="S189" s="92"/>
      <c r="T189" s="92"/>
      <c r="U189" s="92"/>
      <c r="V189" s="92"/>
      <c r="W189" s="92"/>
      <c r="X189" s="92"/>
      <c r="Y189" s="92"/>
      <c r="Z189" s="92"/>
      <c r="AA189" s="92"/>
      <c r="AB189" s="92"/>
      <c r="AC189" s="92"/>
      <c r="AD189" s="92"/>
      <c r="AE189" s="92"/>
      <c r="AF189" s="92"/>
      <c r="AG189" s="92"/>
      <c r="AH189" s="92"/>
      <c r="AI189" s="92"/>
      <c r="AJ189" s="92"/>
      <c r="AK189" s="92"/>
      <c r="AL189" s="92"/>
      <c r="AM189" s="92"/>
      <c r="AN189" s="92"/>
      <c r="AO189" s="92"/>
      <c r="AP189" s="92"/>
      <c r="BV189" s="2"/>
      <c r="BW189"/>
      <c r="BX189"/>
      <c r="BY189"/>
      <c r="BZ189"/>
      <c r="CA189" s="3"/>
      <c r="CB189" s="2"/>
      <c r="CC189" s="2"/>
      <c r="CD189" s="2"/>
      <c r="CE189" s="2"/>
      <c r="CF189" s="2"/>
      <c r="CG189" s="2"/>
      <c r="CJ189" s="503" t="str">
        <f>IF($H$23=1,"Max suggested number of rows","Min suggested number of rows")</f>
        <v>Min suggested number of rows</v>
      </c>
      <c r="CK189" s="503"/>
      <c r="CL189" s="503"/>
      <c r="CM189" s="503"/>
      <c r="CN189" s="272">
        <f>IF(H37&lt;4,    0,       IF(CU2=1,        CW176,           CT183))</f>
        <v>0</v>
      </c>
      <c r="CP189" s="495">
        <f>CP176</f>
        <v>0</v>
      </c>
      <c r="CQ189" s="495">
        <f>CN190</f>
        <v>0</v>
      </c>
      <c r="CR189" s="495">
        <f>IF(CQ189=1,       1,        2)</f>
        <v>2</v>
      </c>
      <c r="CS189" s="493">
        <f>IF(CQ189&lt;3,      0,        CQ189-2)</f>
        <v>0</v>
      </c>
      <c r="CT189" s="493">
        <f>IF(CQ189=1,       IF(CP189&lt;=BY49,       BY49,      CF49/2),                     IF(CQ189=2,       IF(CP189&lt;=CC49,        CC49,   2*CA104),                  IF(CP189&lt;=(CC49+(CS189*CG55)),                          CC49,         (2*CA104))))</f>
        <v>19.571999999999989</v>
      </c>
      <c r="CU189" s="493"/>
      <c r="CV189" s="493">
        <f>IF(CS189=0,           0,         IF((CP189-CT189)&lt;=(CS189*CG55),        CS189*CG55,  CS189*CB104))</f>
        <v>0</v>
      </c>
      <c r="CW189" s="495"/>
      <c r="CX189" s="496"/>
      <c r="CY189" s="496"/>
      <c r="CZ189" s="498"/>
    </row>
    <row r="190" spans="2:115" ht="23.25" x14ac:dyDescent="0.25">
      <c r="B190" s="92"/>
      <c r="C190" s="92"/>
      <c r="D190" s="92"/>
      <c r="E190" s="92"/>
      <c r="F190" s="92"/>
      <c r="G190" s="92"/>
      <c r="H190" s="321"/>
      <c r="I190" s="321"/>
      <c r="J190" s="92"/>
      <c r="K190" s="92"/>
      <c r="L190" s="92"/>
      <c r="M190" s="92"/>
      <c r="N190" s="92"/>
      <c r="O190" s="92"/>
      <c r="P190" s="92"/>
      <c r="Q190" s="92"/>
      <c r="R190" s="92"/>
      <c r="S190" s="92"/>
      <c r="T190" s="92"/>
      <c r="U190" s="92"/>
      <c r="V190" s="92"/>
      <c r="W190" s="92"/>
      <c r="X190" s="92"/>
      <c r="Y190" s="92"/>
      <c r="Z190" s="92"/>
      <c r="AA190" s="92"/>
      <c r="AB190" s="92"/>
      <c r="AC190" s="92"/>
      <c r="AD190" s="92"/>
      <c r="AE190" s="92"/>
      <c r="AF190" s="92"/>
      <c r="AG190" s="92"/>
      <c r="AH190" s="92"/>
      <c r="AI190" s="92"/>
      <c r="AJ190" s="92"/>
      <c r="AK190" s="92"/>
      <c r="AL190" s="92"/>
      <c r="AM190" s="92"/>
      <c r="AN190" s="92"/>
      <c r="AO190" s="92"/>
      <c r="AP190" s="92"/>
      <c r="BV190" s="3"/>
      <c r="BW190" s="284" t="s">
        <v>229</v>
      </c>
      <c r="BX190" s="127" t="s">
        <v>240</v>
      </c>
      <c r="BY190" s="350">
        <v>864</v>
      </c>
      <c r="BZ190" s="353">
        <v>865</v>
      </c>
      <c r="CA190" s="5"/>
      <c r="CB190" s="3"/>
      <c r="CC190" s="3"/>
      <c r="CD190" s="3"/>
      <c r="CE190" s="2"/>
      <c r="CF190" s="2"/>
      <c r="CG190" s="2"/>
      <c r="CJ190" s="154" t="s">
        <v>244</v>
      </c>
      <c r="CK190" s="154"/>
      <c r="CL190" s="154"/>
      <c r="CM190" s="154"/>
      <c r="CN190" s="272">
        <f>IF(H37&lt;4,        0,          H41)</f>
        <v>0</v>
      </c>
      <c r="CP190" s="495"/>
      <c r="CQ190" s="495"/>
      <c r="CR190" s="495"/>
      <c r="CS190" s="493"/>
      <c r="CT190" s="493"/>
      <c r="CU190" s="493"/>
      <c r="CV190" s="493"/>
      <c r="CW190" s="495"/>
      <c r="CX190" s="495">
        <f>IF(CU2=1,            CW176,        CT183)</f>
        <v>1</v>
      </c>
      <c r="CY190" s="495"/>
      <c r="CZ190" s="497">
        <f>IF(CU2=1,         0,                             CW176)</f>
        <v>1</v>
      </c>
    </row>
    <row r="191" spans="2:115" ht="15.75" x14ac:dyDescent="0.25">
      <c r="B191" s="92"/>
      <c r="C191" s="92"/>
      <c r="D191" s="92"/>
      <c r="E191" s="92"/>
      <c r="F191" s="92"/>
      <c r="G191" s="92"/>
      <c r="H191" s="321"/>
      <c r="I191" s="321"/>
      <c r="J191" s="92"/>
      <c r="K191" s="92"/>
      <c r="L191" s="92"/>
      <c r="M191" s="92"/>
      <c r="N191" s="92"/>
      <c r="O191" s="92"/>
      <c r="P191" s="92"/>
      <c r="Q191" s="92"/>
      <c r="R191" s="92"/>
      <c r="S191" s="92"/>
      <c r="T191" s="92"/>
      <c r="U191" s="92"/>
      <c r="V191" s="92"/>
      <c r="W191" s="92"/>
      <c r="X191" s="92"/>
      <c r="Y191" s="92"/>
      <c r="Z191" s="92"/>
      <c r="AA191" s="92"/>
      <c r="AB191" s="92"/>
      <c r="AC191" s="92"/>
      <c r="AD191" s="92"/>
      <c r="AE191" s="92"/>
      <c r="AF191" s="92"/>
      <c r="AG191" s="92"/>
      <c r="AH191" s="92"/>
      <c r="AI191" s="92"/>
      <c r="AJ191" s="92"/>
      <c r="AK191" s="92"/>
      <c r="AL191" s="92"/>
      <c r="AM191" s="92"/>
      <c r="AN191" s="92"/>
      <c r="AO191" s="92"/>
      <c r="AP191" s="92"/>
      <c r="BV191" s="4"/>
      <c r="BW191" s="284" t="s">
        <v>229</v>
      </c>
      <c r="BX191" s="127" t="s">
        <v>241</v>
      </c>
      <c r="BY191" s="350">
        <v>1524</v>
      </c>
      <c r="BZ191" s="350">
        <v>1524</v>
      </c>
      <c r="CA191" s="7"/>
      <c r="CB191" s="5"/>
      <c r="CC191" s="5"/>
      <c r="CD191" s="5"/>
      <c r="CE191" s="3"/>
      <c r="CF191" s="3"/>
      <c r="CG191" s="3"/>
      <c r="CJ191" s="154" t="str">
        <f>IF($H$23=1,"Min number of chambers per full Row","Max number of chambers per Row")</f>
        <v>Max number of chambers per Row</v>
      </c>
      <c r="CK191" s="154"/>
      <c r="CL191" s="154"/>
      <c r="CM191" s="154"/>
      <c r="CN191" s="272">
        <f>IF(H37&lt;4,         0,          CU194)</f>
        <v>0</v>
      </c>
      <c r="CP191" s="493" t="s">
        <v>83</v>
      </c>
      <c r="CQ191" s="493"/>
      <c r="CR191" s="498" t="s">
        <v>84</v>
      </c>
      <c r="CS191" s="498" t="s">
        <v>85</v>
      </c>
      <c r="CT191" s="498"/>
      <c r="CU191" s="496" t="s">
        <v>86</v>
      </c>
      <c r="CV191" s="496"/>
      <c r="CW191" s="495"/>
      <c r="CX191" s="495"/>
      <c r="CY191" s="495"/>
      <c r="CZ191" s="497"/>
    </row>
    <row r="192" spans="2:115" x14ac:dyDescent="0.25">
      <c r="B192" s="92"/>
      <c r="C192" s="92"/>
      <c r="D192" s="92"/>
      <c r="E192" s="92"/>
      <c r="F192" s="92"/>
      <c r="G192" s="92"/>
      <c r="H192" s="321"/>
      <c r="I192" s="321"/>
      <c r="J192" s="92"/>
      <c r="K192" s="92"/>
      <c r="L192" s="92"/>
      <c r="M192" s="92"/>
      <c r="N192" s="92"/>
      <c r="O192" s="92"/>
      <c r="P192" s="92"/>
      <c r="Q192" s="92"/>
      <c r="R192" s="92"/>
      <c r="S192" s="92"/>
      <c r="T192" s="92"/>
      <c r="U192" s="92"/>
      <c r="V192" s="92"/>
      <c r="W192" s="92"/>
      <c r="X192" s="92"/>
      <c r="Y192" s="92"/>
      <c r="Z192" s="92"/>
      <c r="AA192" s="92"/>
      <c r="AB192" s="92"/>
      <c r="AC192" s="92"/>
      <c r="AD192" s="92"/>
      <c r="AE192" s="92"/>
      <c r="AF192" s="92"/>
      <c r="AG192" s="92"/>
      <c r="AH192" s="92"/>
      <c r="AI192" s="92"/>
      <c r="AJ192" s="92"/>
      <c r="AK192" s="92"/>
      <c r="AL192" s="92"/>
      <c r="AM192" s="92"/>
      <c r="AN192" s="92"/>
      <c r="AO192" s="92"/>
      <c r="AP192" s="92"/>
      <c r="BV192" s="7"/>
      <c r="BW192" s="284" t="s">
        <v>229</v>
      </c>
      <c r="BX192" s="127" t="s">
        <v>242</v>
      </c>
      <c r="BY192" s="350">
        <v>2463.8000000000002</v>
      </c>
      <c r="BZ192" s="350">
        <v>2311.4</v>
      </c>
      <c r="CA192" s="7"/>
      <c r="CB192" s="16"/>
      <c r="CC192" s="16"/>
      <c r="CD192" s="16"/>
      <c r="CE192" s="5"/>
      <c r="CF192" s="5"/>
      <c r="CG192" s="5"/>
      <c r="CJ192" s="154" t="s">
        <v>105</v>
      </c>
      <c r="CK192" s="154"/>
      <c r="CL192" s="154"/>
      <c r="CM192" s="154"/>
      <c r="CN192" s="272">
        <f>IF(H37&lt;4,0,"all")</f>
        <v>0</v>
      </c>
      <c r="CP192" s="493"/>
      <c r="CQ192" s="493"/>
      <c r="CR192" s="498"/>
      <c r="CS192" s="498"/>
      <c r="CT192" s="498"/>
      <c r="CU192" s="496"/>
      <c r="CV192" s="496"/>
      <c r="CW192" s="495"/>
      <c r="CX192" s="496" t="s">
        <v>94</v>
      </c>
      <c r="CY192" s="496"/>
      <c r="CZ192" s="496"/>
    </row>
    <row r="193" spans="2:104" ht="15.75" x14ac:dyDescent="0.25">
      <c r="B193" s="92"/>
      <c r="C193" s="92"/>
      <c r="D193" s="92"/>
      <c r="E193" s="92"/>
      <c r="F193" s="92"/>
      <c r="G193" s="92"/>
      <c r="H193" s="321"/>
      <c r="I193" s="321"/>
      <c r="J193" s="92"/>
      <c r="K193" s="92"/>
      <c r="L193" s="92"/>
      <c r="M193" s="92"/>
      <c r="N193" s="92"/>
      <c r="O193" s="92"/>
      <c r="P193" s="92"/>
      <c r="Q193" s="92"/>
      <c r="R193" s="92"/>
      <c r="S193" s="92"/>
      <c r="T193" s="92"/>
      <c r="U193" s="92"/>
      <c r="V193" s="92"/>
      <c r="W193" s="92"/>
      <c r="X193" s="92"/>
      <c r="Y193" s="92"/>
      <c r="Z193" s="92"/>
      <c r="AA193" s="92"/>
      <c r="AB193" s="92"/>
      <c r="AC193" s="92"/>
      <c r="AD193" s="92"/>
      <c r="AE193" s="92"/>
      <c r="AF193" s="92"/>
      <c r="AG193" s="92"/>
      <c r="AH193" s="92"/>
      <c r="AI193" s="92"/>
      <c r="AJ193" s="92"/>
      <c r="AK193" s="92"/>
      <c r="AL193" s="92"/>
      <c r="AM193" s="92"/>
      <c r="AN193" s="92"/>
      <c r="AO193" s="92"/>
      <c r="AP193" s="92"/>
      <c r="BV193" s="7"/>
      <c r="BW193" s="284" t="s">
        <v>229</v>
      </c>
      <c r="BX193" s="127" t="s">
        <v>243</v>
      </c>
      <c r="BY193" s="350">
        <v>2.2000000000000002</v>
      </c>
      <c r="BZ193" s="350">
        <v>2.06</v>
      </c>
      <c r="CA193" s="5"/>
      <c r="CB193" s="16"/>
      <c r="CC193" s="16"/>
      <c r="CD193" s="16"/>
      <c r="CE193" s="16"/>
      <c r="CF193" s="16"/>
      <c r="CG193" s="16"/>
      <c r="CJ193" s="155" t="s">
        <v>230</v>
      </c>
      <c r="CK193" s="155"/>
      <c r="CL193" s="155"/>
      <c r="CM193" s="155"/>
      <c r="CN193" s="156">
        <f>CN174+CN178+CN182+CN186</f>
        <v>0</v>
      </c>
      <c r="CP193" s="493"/>
      <c r="CQ193" s="493"/>
      <c r="CR193" s="498"/>
      <c r="CS193" s="498"/>
      <c r="CT193" s="498"/>
      <c r="CU193" s="496"/>
      <c r="CV193" s="496"/>
      <c r="CW193" s="495"/>
      <c r="CX193" s="496"/>
      <c r="CY193" s="496"/>
      <c r="CZ193" s="496"/>
    </row>
    <row r="194" spans="2:104" x14ac:dyDescent="0.25">
      <c r="B194" s="92"/>
      <c r="C194" s="92"/>
      <c r="D194" s="92"/>
      <c r="E194" s="92"/>
      <c r="F194" s="92"/>
      <c r="G194" s="92"/>
      <c r="H194" s="321"/>
      <c r="I194" s="321"/>
      <c r="J194" s="92"/>
      <c r="K194" s="92"/>
      <c r="L194" s="92"/>
      <c r="M194" s="92"/>
      <c r="N194" s="92"/>
      <c r="O194" s="92"/>
      <c r="P194" s="92"/>
      <c r="Q194" s="92"/>
      <c r="R194" s="92"/>
      <c r="S194" s="92"/>
      <c r="T194" s="92"/>
      <c r="U194" s="92"/>
      <c r="V194" s="92"/>
      <c r="W194" s="92"/>
      <c r="X194" s="92"/>
      <c r="Y194" s="92"/>
      <c r="Z194" s="92"/>
      <c r="AA194" s="92"/>
      <c r="AB194" s="92"/>
      <c r="AC194" s="92"/>
      <c r="AD194" s="92"/>
      <c r="AE194" s="92"/>
      <c r="AF194" s="92"/>
      <c r="AG194" s="92"/>
      <c r="AH194" s="92"/>
      <c r="AI194" s="92"/>
      <c r="AJ194" s="92"/>
      <c r="AK194" s="92"/>
      <c r="AL194" s="92"/>
      <c r="AM194" s="92"/>
      <c r="AN194" s="92"/>
      <c r="AO194" s="92"/>
      <c r="AP194" s="92"/>
      <c r="BV194" s="5"/>
      <c r="BW194" s="352"/>
      <c r="BX194"/>
      <c r="BY194" s="127"/>
      <c r="BZ194" s="127"/>
      <c r="CA194" s="5"/>
      <c r="CB194" s="5"/>
      <c r="CC194" s="5"/>
      <c r="CD194" s="5"/>
      <c r="CE194" s="16"/>
      <c r="CF194" s="16"/>
      <c r="CG194" s="16"/>
      <c r="CJ194" s="157" t="s">
        <v>113</v>
      </c>
      <c r="CK194" s="157"/>
      <c r="CL194" s="157"/>
      <c r="CM194" s="157"/>
      <c r="CN194" s="139">
        <f>IF(H37&lt;4,      0,        IF(H15="Imperial",       IF(CN191=1,           ((BY5+H55+H55)/12),                    IF(CN191=2,              (2*BY103)/12,       ((((CN191-2)*CD103)+(2*BY103))/12))),                                                                      IF(CN191=1,                                                                                           ((BY5+H55+H55)/1000),                   IF(CN191=2,      ((2*BY103)/1000),         ((((CN191-2)*CD103)+(2*BY103))/1000)))))</f>
        <v>0</v>
      </c>
      <c r="CP194" s="493"/>
      <c r="CQ194" s="493"/>
      <c r="CR194" s="495">
        <f>IF(CQ189=1,          IF(CP189&lt;=BY49,          1,         2),                  IF(CQ189=2,      IF(CP189&lt;=CC49,       1,     2),          IF(CP189&lt;=(CC49+(CS189*CG55)),        1,      2)))</f>
        <v>1</v>
      </c>
      <c r="CS194" s="495">
        <f>IF(CP189&lt;=(2*(CT189+CV189)),     0,        IF(AND(CQ189=1,CP189&lt;=CF49),0,      IF(H15="Imperial",           IF(CQ189=1,               ROUNDUP((CP189-(CF49))/(CF104+((((H55-(H45/2))*CD100*CD103)/1728)*(H33/100))),0),                                                                                                                                         IF(CQ189=2,             ROUNDUP((CP189-(2*CT189))/(2*CF104),0),            ROUNDUP((CP189-(2*(CT189+CV189)))/((2*CF104)+(CS189*CG104)),0))),                                                                                                                                                                                                           IF(CQ189=1,                        ROUNDUP((CP189-(CF49))/(CF104+((((H55-(H45/2))*CD100*CD103)/1000000000)*(H33/100))),0),                                                                                                                                                             IF(CQ189=2,                        ROUNDUP((CP189-(2*CT189))/(2*CF104),0),          ROUNDUP((CP189-(2*(CT189+CV189)))/((2*CF104)+(CS189*CG104)),0))))))</f>
        <v>0</v>
      </c>
      <c r="CT194" s="495"/>
      <c r="CU194" s="495">
        <f>CR194+CS194</f>
        <v>1</v>
      </c>
      <c r="CV194" s="495"/>
      <c r="CW194" s="495"/>
      <c r="CX194" s="498" t="s">
        <v>101</v>
      </c>
      <c r="CY194" s="498"/>
      <c r="CZ194" s="539" t="s">
        <v>102</v>
      </c>
    </row>
    <row r="195" spans="2:104" x14ac:dyDescent="0.25">
      <c r="B195" s="92"/>
      <c r="C195" s="92"/>
      <c r="D195" s="92"/>
      <c r="E195" s="92"/>
      <c r="F195" s="92"/>
      <c r="G195" s="92"/>
      <c r="H195" s="321"/>
      <c r="I195" s="321"/>
      <c r="J195" s="92"/>
      <c r="K195" s="92"/>
      <c r="L195" s="92"/>
      <c r="M195" s="92"/>
      <c r="N195" s="92"/>
      <c r="O195" s="92"/>
      <c r="P195" s="92"/>
      <c r="Q195" s="92"/>
      <c r="R195" s="92"/>
      <c r="S195" s="92"/>
      <c r="T195" s="92"/>
      <c r="U195" s="92"/>
      <c r="V195" s="92"/>
      <c r="W195" s="92"/>
      <c r="X195" s="92"/>
      <c r="Y195" s="92"/>
      <c r="Z195" s="92"/>
      <c r="AA195" s="92"/>
      <c r="AB195" s="92"/>
      <c r="AC195" s="92"/>
      <c r="AD195" s="92"/>
      <c r="AE195" s="92"/>
      <c r="AF195" s="92"/>
      <c r="AG195" s="92"/>
      <c r="AH195" s="92"/>
      <c r="AI195" s="92"/>
      <c r="AJ195" s="92"/>
      <c r="AK195" s="92"/>
      <c r="AL195" s="92"/>
      <c r="AM195" s="92"/>
      <c r="AN195" s="92"/>
      <c r="AO195" s="92"/>
      <c r="AP195" s="92"/>
      <c r="BV195" s="5"/>
      <c r="BW195"/>
      <c r="BX195"/>
      <c r="BY195"/>
      <c r="BZ195"/>
      <c r="CA195" s="7"/>
      <c r="CB195" s="5"/>
      <c r="CC195" s="5"/>
      <c r="CD195" s="5"/>
      <c r="CE195" s="5"/>
      <c r="CF195" s="16"/>
      <c r="CG195" s="16"/>
      <c r="CJ195" s="532" t="s">
        <v>114</v>
      </c>
      <c r="CK195" s="532"/>
      <c r="CL195" s="532"/>
      <c r="CM195" s="532"/>
      <c r="CN195" s="138">
        <f>IF(H37&lt;4,           0,          IF(H15="Imperial",          IF(CN190=1,       ((BY102+H55-(H45/2))/12),              IF(CN190=2,              (2*BY102)/12,         ((((CN190-2)*BZ102)+(2*BY102))/12))),                                                               IF(CN190=1,                                                                                            (BY102+H55-(H45/2))/1000,               IF(CN190=2,         ((2*BY102)/1000),       ((((CN190-2)*BZ102)+(2*BY102))/1000)))))</f>
        <v>0</v>
      </c>
      <c r="CP195" s="493"/>
      <c r="CQ195" s="493"/>
      <c r="CR195" s="495"/>
      <c r="CS195" s="495"/>
      <c r="CT195" s="495"/>
      <c r="CU195" s="495"/>
      <c r="CV195" s="495"/>
      <c r="CW195" s="495"/>
      <c r="CX195" s="498"/>
      <c r="CY195" s="498"/>
      <c r="CZ195" s="539"/>
    </row>
    <row r="196" spans="2:104" ht="14.45" customHeight="1" x14ac:dyDescent="0.25">
      <c r="B196" s="92"/>
      <c r="C196" s="92"/>
      <c r="D196" s="92"/>
      <c r="E196" s="92"/>
      <c r="F196" s="92"/>
      <c r="G196" s="92"/>
      <c r="H196" s="321"/>
      <c r="I196" s="321"/>
      <c r="J196" s="92"/>
      <c r="K196" s="92"/>
      <c r="L196" s="92"/>
      <c r="M196" s="92"/>
      <c r="N196" s="92"/>
      <c r="O196" s="92"/>
      <c r="P196" s="92"/>
      <c r="Q196" s="92"/>
      <c r="R196" s="92"/>
      <c r="S196" s="92"/>
      <c r="T196" s="92"/>
      <c r="U196" s="92"/>
      <c r="V196" s="92"/>
      <c r="W196" s="92"/>
      <c r="X196" s="92"/>
      <c r="Y196" s="92"/>
      <c r="Z196" s="92"/>
      <c r="AA196" s="92"/>
      <c r="AB196" s="92"/>
      <c r="AC196" s="92"/>
      <c r="AD196" s="92"/>
      <c r="AE196" s="92"/>
      <c r="AF196" s="92"/>
      <c r="AG196" s="92"/>
      <c r="AH196" s="92"/>
      <c r="AI196" s="92"/>
      <c r="AJ196" s="92"/>
      <c r="AK196" s="92"/>
      <c r="AL196" s="92"/>
      <c r="AM196" s="92"/>
      <c r="AN196" s="92"/>
      <c r="AO196" s="92"/>
      <c r="AP196" s="92"/>
      <c r="BV196" s="7"/>
      <c r="BW196" s="284" t="s">
        <v>231</v>
      </c>
      <c r="BX196" s="127" t="s">
        <v>240</v>
      </c>
      <c r="BY196" s="350">
        <f>BY178*25.4</f>
        <v>1041.3999999999999</v>
      </c>
      <c r="BZ196" s="350">
        <f>BZ178*25.4</f>
        <v>1041.3999999999999</v>
      </c>
      <c r="CA196" s="7"/>
      <c r="CB196" s="7"/>
      <c r="CC196" s="7"/>
      <c r="CD196" s="7"/>
      <c r="CE196" s="5"/>
      <c r="CF196" s="16"/>
      <c r="CG196" s="16"/>
      <c r="CJ196" s="261" t="s">
        <v>116</v>
      </c>
      <c r="CK196" s="147">
        <f>CL174+CL178+CL182+CL186</f>
        <v>0</v>
      </c>
      <c r="CL196" s="602" t="s">
        <v>117</v>
      </c>
      <c r="CM196" s="602"/>
      <c r="CN196" s="139">
        <f>CM174+CM178+CM182+CM186</f>
        <v>0</v>
      </c>
      <c r="CP196" s="128"/>
      <c r="CQ196" s="128"/>
      <c r="CR196" s="123"/>
      <c r="CS196" s="123"/>
      <c r="CT196" s="123"/>
      <c r="CU196" s="123"/>
      <c r="CV196" s="123"/>
      <c r="CW196" s="495"/>
      <c r="CX196" s="495">
        <f>IF(H37&lt;4,      0,          H80)</f>
        <v>0</v>
      </c>
      <c r="CY196" s="495"/>
      <c r="CZ196" s="497">
        <f>CU194</f>
        <v>1</v>
      </c>
    </row>
    <row r="197" spans="2:104" x14ac:dyDescent="0.25">
      <c r="B197" s="92"/>
      <c r="C197" s="92"/>
      <c r="D197" s="92"/>
      <c r="E197" s="92"/>
      <c r="F197" s="92"/>
      <c r="G197" s="92"/>
      <c r="H197" s="321"/>
      <c r="I197" s="321"/>
      <c r="J197" s="92"/>
      <c r="K197" s="92"/>
      <c r="L197" s="92"/>
      <c r="M197" s="92"/>
      <c r="N197" s="92"/>
      <c r="O197" s="92"/>
      <c r="P197" s="92"/>
      <c r="Q197" s="92"/>
      <c r="R197" s="92"/>
      <c r="S197" s="92"/>
      <c r="T197" s="92"/>
      <c r="U197" s="92"/>
      <c r="V197" s="92"/>
      <c r="W197" s="92"/>
      <c r="X197" s="92"/>
      <c r="Y197" s="92"/>
      <c r="Z197" s="92"/>
      <c r="AA197" s="92"/>
      <c r="AB197" s="92"/>
      <c r="AC197" s="92"/>
      <c r="AD197" s="92"/>
      <c r="AE197" s="92"/>
      <c r="AF197" s="92"/>
      <c r="AG197" s="92"/>
      <c r="AH197" s="92"/>
      <c r="AI197" s="92"/>
      <c r="AJ197" s="92"/>
      <c r="AK197" s="92"/>
      <c r="AL197" s="92"/>
      <c r="AM197" s="92"/>
      <c r="AN197" s="92"/>
      <c r="AO197" s="92"/>
      <c r="AP197" s="92"/>
      <c r="BV197" s="7"/>
      <c r="BW197" s="284" t="s">
        <v>231</v>
      </c>
      <c r="BX197" s="127" t="s">
        <v>241</v>
      </c>
      <c r="BY197" s="350">
        <f>BY179*25.4</f>
        <v>2032</v>
      </c>
      <c r="BZ197" s="350">
        <f t="shared" ref="BZ197:BZ198" si="18">BZ179*25.4</f>
        <v>2032</v>
      </c>
      <c r="CA197" s="5"/>
      <c r="CB197" s="7"/>
      <c r="CC197" s="7"/>
      <c r="CD197" s="7"/>
      <c r="CE197" s="7"/>
      <c r="CF197" s="16"/>
      <c r="CG197" s="16"/>
      <c r="CJ197" s="147"/>
      <c r="CK197" s="147"/>
      <c r="CL197" s="147"/>
      <c r="CM197" s="147"/>
      <c r="CN197" s="272"/>
      <c r="CP197" s="522" t="s">
        <v>233</v>
      </c>
      <c r="CQ197" s="522"/>
      <c r="CR197" s="268">
        <f>CN190</f>
        <v>0</v>
      </c>
      <c r="CS197" s="123"/>
      <c r="CT197" s="123"/>
      <c r="CU197" s="123"/>
      <c r="CV197" s="123"/>
      <c r="CW197" s="495"/>
      <c r="CX197" s="495"/>
      <c r="CY197" s="495"/>
      <c r="CZ197" s="497"/>
    </row>
    <row r="198" spans="2:104" x14ac:dyDescent="0.25">
      <c r="B198" s="92"/>
      <c r="C198" s="92"/>
      <c r="D198" s="92"/>
      <c r="E198" s="92"/>
      <c r="F198" s="92"/>
      <c r="G198" s="92"/>
      <c r="H198" s="321"/>
      <c r="I198" s="321"/>
      <c r="J198" s="92"/>
      <c r="K198" s="92"/>
      <c r="L198" s="92"/>
      <c r="M198" s="92"/>
      <c r="N198" s="92"/>
      <c r="O198" s="92"/>
      <c r="P198" s="92"/>
      <c r="Q198" s="92"/>
      <c r="R198" s="92"/>
      <c r="S198" s="92"/>
      <c r="T198" s="92"/>
      <c r="U198" s="92"/>
      <c r="V198" s="92"/>
      <c r="W198" s="92"/>
      <c r="X198" s="92"/>
      <c r="Y198" s="92"/>
      <c r="Z198" s="92"/>
      <c r="AA198" s="92"/>
      <c r="AB198" s="92"/>
      <c r="AC198" s="92"/>
      <c r="AD198" s="92"/>
      <c r="AE198" s="92"/>
      <c r="AF198" s="92"/>
      <c r="AG198" s="92"/>
      <c r="AH198" s="92"/>
      <c r="AI198" s="92"/>
      <c r="AJ198" s="92"/>
      <c r="AK198" s="92"/>
      <c r="AL198" s="92"/>
      <c r="AM198" s="92"/>
      <c r="AN198" s="92"/>
      <c r="AO198" s="92"/>
      <c r="AP198" s="92"/>
      <c r="BV198" s="5"/>
      <c r="BW198" s="284" t="s">
        <v>231</v>
      </c>
      <c r="BX198" s="127" t="s">
        <v>242</v>
      </c>
      <c r="BY198" s="350">
        <f>BY180*25.4</f>
        <v>2032</v>
      </c>
      <c r="BZ198" s="350">
        <f t="shared" si="18"/>
        <v>1879.6</v>
      </c>
      <c r="CA198" s="5"/>
      <c r="CB198" s="5"/>
      <c r="CC198" s="5"/>
      <c r="CD198" s="5"/>
      <c r="CE198" s="7"/>
      <c r="CF198" s="16"/>
      <c r="CG198" s="16"/>
      <c r="CJ198" s="132"/>
      <c r="CK198" s="137" t="s">
        <v>129</v>
      </c>
      <c r="CL198" s="137"/>
      <c r="CM198" s="137"/>
      <c r="CN198" s="263">
        <f>CK174+CK178+CK182+CK186</f>
        <v>0</v>
      </c>
      <c r="CP198" s="522" t="s">
        <v>234</v>
      </c>
      <c r="CQ198" s="522"/>
      <c r="CR198" s="268">
        <f>CU194</f>
        <v>1</v>
      </c>
      <c r="CS198" s="123"/>
      <c r="CT198" s="123"/>
      <c r="CU198" s="123"/>
      <c r="CV198" s="123"/>
      <c r="CW198" s="127"/>
      <c r="CX198" s="128"/>
      <c r="CY198" s="128"/>
      <c r="CZ198" s="123"/>
    </row>
    <row r="199" spans="2:104" x14ac:dyDescent="0.25">
      <c r="B199" s="92"/>
      <c r="C199" s="92"/>
      <c r="D199" s="92"/>
      <c r="E199" s="92"/>
      <c r="F199" s="92"/>
      <c r="G199" s="92"/>
      <c r="H199" s="321"/>
      <c r="I199" s="321"/>
      <c r="J199" s="92"/>
      <c r="K199" s="92"/>
      <c r="L199" s="92"/>
      <c r="M199" s="92"/>
      <c r="N199" s="92"/>
      <c r="O199" s="92"/>
      <c r="P199" s="92"/>
      <c r="Q199" s="92"/>
      <c r="R199" s="92"/>
      <c r="S199" s="92"/>
      <c r="T199" s="92"/>
      <c r="U199" s="92"/>
      <c r="V199" s="92"/>
      <c r="W199" s="92"/>
      <c r="X199" s="92"/>
      <c r="Y199" s="92"/>
      <c r="Z199" s="92"/>
      <c r="AA199" s="92"/>
      <c r="AB199" s="92"/>
      <c r="AC199" s="92"/>
      <c r="AD199" s="92"/>
      <c r="AE199" s="92"/>
      <c r="AF199" s="92"/>
      <c r="AG199" s="92"/>
      <c r="AH199" s="92"/>
      <c r="AI199" s="92"/>
      <c r="AJ199" s="92"/>
      <c r="AK199" s="92"/>
      <c r="AL199" s="92"/>
      <c r="AM199" s="92"/>
      <c r="AN199" s="92"/>
      <c r="AO199" s="92"/>
      <c r="AP199" s="92"/>
      <c r="BV199" s="5"/>
      <c r="BW199" s="284" t="s">
        <v>231</v>
      </c>
      <c r="BX199" s="127" t="s">
        <v>243</v>
      </c>
      <c r="BY199" s="356">
        <f>BY181/(3.2808)^3</f>
        <v>2.6349786982396477</v>
      </c>
      <c r="BZ199" s="356">
        <f>BZ181/(3.2808)^3</f>
        <v>2.49197340618043</v>
      </c>
      <c r="CA199" s="7"/>
      <c r="CB199" s="5"/>
      <c r="CC199" s="5"/>
      <c r="CD199" s="5"/>
      <c r="CE199" s="5"/>
      <c r="CF199" s="5"/>
      <c r="CG199" s="5"/>
      <c r="CJ199" s="9"/>
      <c r="CR199" s="12"/>
      <c r="CS199" s="12"/>
      <c r="CT199" s="12"/>
      <c r="CU199" s="12"/>
      <c r="CV199" s="12"/>
      <c r="CW199" s="7"/>
      <c r="CX199" s="108"/>
      <c r="CY199" s="108"/>
      <c r="CZ199" s="12"/>
    </row>
    <row r="200" spans="2:104" x14ac:dyDescent="0.25">
      <c r="B200" s="92"/>
      <c r="C200" s="92"/>
      <c r="D200" s="92"/>
      <c r="E200" s="92"/>
      <c r="F200" s="92"/>
      <c r="G200" s="92"/>
      <c r="H200" s="321"/>
      <c r="I200" s="321"/>
      <c r="J200" s="92"/>
      <c r="K200" s="92"/>
      <c r="L200" s="92"/>
      <c r="M200" s="92"/>
      <c r="N200" s="92"/>
      <c r="O200" s="92"/>
      <c r="P200" s="92"/>
      <c r="Q200" s="92"/>
      <c r="R200" s="92"/>
      <c r="S200" s="92"/>
      <c r="T200" s="92"/>
      <c r="U200" s="92"/>
      <c r="V200" s="92"/>
      <c r="W200" s="92"/>
      <c r="X200" s="92"/>
      <c r="Y200" s="92"/>
      <c r="Z200" s="92"/>
      <c r="AA200" s="92"/>
      <c r="AB200" s="92"/>
      <c r="AC200" s="92"/>
      <c r="AD200" s="92"/>
      <c r="AE200" s="92"/>
      <c r="AF200" s="92"/>
      <c r="AG200" s="92"/>
      <c r="AH200" s="92"/>
      <c r="AI200" s="92"/>
      <c r="AJ200" s="92"/>
      <c r="AK200" s="92"/>
      <c r="AL200" s="92"/>
      <c r="AM200" s="92"/>
      <c r="AN200" s="92"/>
      <c r="AO200" s="92"/>
      <c r="AP200" s="92"/>
      <c r="BV200" s="7"/>
      <c r="BW200" s="7"/>
      <c r="BX200" s="7"/>
      <c r="BY200" s="7"/>
      <c r="BZ200" s="7"/>
      <c r="CA200" s="7"/>
      <c r="CB200" s="7"/>
      <c r="CC200" s="7"/>
      <c r="CD200" s="7"/>
      <c r="CE200" s="5"/>
      <c r="CF200" s="5"/>
      <c r="CG200" s="5"/>
      <c r="CJ200" s="601"/>
      <c r="CK200" s="601"/>
      <c r="CL200" s="601"/>
      <c r="CM200" s="109"/>
      <c r="CR200" s="12"/>
      <c r="CS200" s="12"/>
      <c r="CT200" s="12"/>
      <c r="CU200" s="12"/>
      <c r="CV200" s="12"/>
      <c r="CW200" s="7"/>
      <c r="CX200" s="9"/>
      <c r="CY200" s="9"/>
      <c r="CZ200" s="9"/>
    </row>
    <row r="201" spans="2:104" x14ac:dyDescent="0.25">
      <c r="B201" s="92"/>
      <c r="C201" s="92"/>
      <c r="D201" s="92"/>
      <c r="E201" s="92"/>
      <c r="F201" s="92"/>
      <c r="G201" s="92"/>
      <c r="H201" s="321"/>
      <c r="I201" s="321"/>
      <c r="J201" s="92"/>
      <c r="K201" s="92"/>
      <c r="L201" s="92"/>
      <c r="M201" s="92"/>
      <c r="N201" s="92"/>
      <c r="O201" s="92"/>
      <c r="P201" s="92"/>
      <c r="Q201" s="92"/>
      <c r="R201" s="92"/>
      <c r="S201" s="92"/>
      <c r="T201" s="92"/>
      <c r="U201" s="92"/>
      <c r="V201" s="92"/>
      <c r="W201" s="92"/>
      <c r="X201" s="92"/>
      <c r="Y201" s="92"/>
      <c r="Z201" s="92"/>
      <c r="AA201" s="92"/>
      <c r="AB201" s="92"/>
      <c r="AC201" s="92"/>
      <c r="AD201" s="92"/>
      <c r="AE201" s="92"/>
      <c r="AF201" s="92"/>
      <c r="AG201" s="92"/>
      <c r="AH201" s="92"/>
      <c r="AI201" s="92"/>
      <c r="AJ201" s="92"/>
      <c r="AK201" s="92"/>
      <c r="AL201" s="92"/>
      <c r="AM201" s="92"/>
      <c r="AN201" s="92"/>
      <c r="AO201" s="92"/>
      <c r="AP201" s="92"/>
      <c r="BV201" s="7"/>
      <c r="BW201" s="5"/>
      <c r="BX201" s="5"/>
      <c r="BY201" s="5"/>
      <c r="BZ201" s="5"/>
      <c r="CA201" s="5"/>
      <c r="CB201" s="7"/>
      <c r="CC201" s="7"/>
      <c r="CD201" s="7"/>
      <c r="CE201" s="7"/>
      <c r="CF201" s="6"/>
      <c r="CG201" s="6"/>
      <c r="CJ201" s="600"/>
      <c r="CK201" s="600"/>
      <c r="CL201" s="600"/>
      <c r="CM201" s="290"/>
      <c r="CP201" s="12"/>
      <c r="CQ201" s="12"/>
      <c r="CR201" s="12"/>
      <c r="CS201" s="12"/>
      <c r="CT201" s="12"/>
      <c r="CU201" s="12"/>
      <c r="CV201" s="12"/>
      <c r="CW201" s="7"/>
      <c r="CX201" s="9"/>
      <c r="CY201" s="9"/>
      <c r="CZ201" s="9"/>
    </row>
    <row r="202" spans="2:104" x14ac:dyDescent="0.25">
      <c r="B202" s="92"/>
      <c r="C202" s="92"/>
      <c r="D202" s="92"/>
      <c r="E202" s="92"/>
      <c r="F202" s="92"/>
      <c r="G202" s="92"/>
      <c r="H202" s="321"/>
      <c r="I202" s="321"/>
      <c r="J202" s="92"/>
      <c r="K202" s="92"/>
      <c r="L202" s="92"/>
      <c r="M202" s="92"/>
      <c r="N202" s="92"/>
      <c r="O202" s="92"/>
      <c r="P202" s="92"/>
      <c r="Q202" s="92"/>
      <c r="R202" s="92"/>
      <c r="S202" s="92"/>
      <c r="T202" s="92"/>
      <c r="U202" s="92"/>
      <c r="V202" s="92"/>
      <c r="W202" s="92"/>
      <c r="X202" s="92"/>
      <c r="Y202" s="92"/>
      <c r="Z202" s="92"/>
      <c r="AA202" s="92"/>
      <c r="AB202" s="92"/>
      <c r="AC202" s="92"/>
      <c r="AD202" s="92"/>
      <c r="AE202" s="92"/>
      <c r="AF202" s="92"/>
      <c r="AG202" s="92"/>
      <c r="AH202" s="92"/>
      <c r="AI202" s="92"/>
      <c r="AJ202" s="92"/>
      <c r="AK202" s="92"/>
      <c r="AL202" s="92"/>
      <c r="AM202" s="92"/>
      <c r="AN202" s="92"/>
      <c r="AO202" s="92"/>
      <c r="AP202" s="92"/>
      <c r="BV202" s="5"/>
      <c r="BW202" s="5"/>
      <c r="BX202" s="5"/>
      <c r="BY202" s="5"/>
      <c r="BZ202" s="5"/>
      <c r="CA202" s="5"/>
      <c r="CB202" s="5"/>
      <c r="CC202" s="5"/>
      <c r="CD202" s="5"/>
      <c r="CE202" s="7"/>
      <c r="CF202" s="6"/>
      <c r="CG202" s="6"/>
      <c r="CJ202" s="601"/>
      <c r="CK202" s="601"/>
      <c r="CL202" s="601"/>
      <c r="CM202" s="95"/>
      <c r="CP202" s="12"/>
      <c r="CQ202" s="12"/>
      <c r="CR202" s="12"/>
      <c r="CS202" s="12"/>
      <c r="CT202" s="12"/>
      <c r="CU202" s="12"/>
      <c r="CV202" s="12"/>
      <c r="CW202" s="7"/>
    </row>
    <row r="203" spans="2:104" x14ac:dyDescent="0.25">
      <c r="B203" s="92"/>
      <c r="C203" s="92"/>
      <c r="D203" s="92"/>
      <c r="E203" s="92"/>
      <c r="F203" s="92"/>
      <c r="G203" s="92"/>
      <c r="H203" s="321"/>
      <c r="I203" s="321"/>
      <c r="J203" s="92"/>
      <c r="K203" s="92"/>
      <c r="L203" s="92"/>
      <c r="M203" s="92"/>
      <c r="N203" s="92"/>
      <c r="O203" s="92"/>
      <c r="P203" s="92"/>
      <c r="Q203" s="92"/>
      <c r="R203" s="92"/>
      <c r="S203" s="92"/>
      <c r="T203" s="92"/>
      <c r="U203" s="92"/>
      <c r="V203" s="92"/>
      <c r="W203" s="92"/>
      <c r="X203" s="92"/>
      <c r="Y203" s="92"/>
      <c r="Z203" s="92"/>
      <c r="AA203" s="92"/>
      <c r="AB203" s="92"/>
      <c r="AC203" s="92"/>
      <c r="AD203" s="92"/>
      <c r="AE203" s="92"/>
      <c r="AF203" s="92"/>
      <c r="AG203" s="92"/>
      <c r="AH203" s="92"/>
      <c r="AI203" s="92"/>
      <c r="AJ203" s="92"/>
      <c r="AK203" s="92"/>
      <c r="AL203" s="92"/>
      <c r="AM203" s="92"/>
      <c r="AN203" s="92"/>
      <c r="AO203" s="92"/>
      <c r="AP203" s="92"/>
      <c r="BV203" s="5"/>
      <c r="BW203" s="7"/>
      <c r="BX203" s="7"/>
      <c r="BY203" s="7"/>
      <c r="BZ203" s="7"/>
      <c r="CA203" s="7"/>
      <c r="CB203" s="5"/>
      <c r="CC203" s="5"/>
      <c r="CD203" s="5"/>
      <c r="CE203" s="5"/>
      <c r="CF203" s="6"/>
      <c r="CG203" s="6"/>
      <c r="CJ203" s="600"/>
      <c r="CK203" s="600"/>
      <c r="CL203" s="600"/>
      <c r="CM203" s="290"/>
      <c r="CP203" s="12"/>
      <c r="CQ203" s="12"/>
      <c r="CR203" s="12"/>
      <c r="CS203" s="12"/>
      <c r="CT203" s="12"/>
      <c r="CU203" s="12"/>
      <c r="CV203" s="12"/>
      <c r="CW203" s="7"/>
    </row>
    <row r="204" spans="2:104" x14ac:dyDescent="0.25">
      <c r="B204" s="92"/>
      <c r="C204" s="92"/>
      <c r="D204" s="92"/>
      <c r="E204" s="92"/>
      <c r="F204" s="92"/>
      <c r="G204" s="92"/>
      <c r="H204" s="321"/>
      <c r="I204" s="321"/>
      <c r="J204" s="92"/>
      <c r="K204" s="92"/>
      <c r="L204" s="92"/>
      <c r="M204" s="92"/>
      <c r="N204" s="92"/>
      <c r="O204" s="92"/>
      <c r="P204" s="92"/>
      <c r="Q204" s="92"/>
      <c r="R204" s="92"/>
      <c r="S204" s="92"/>
      <c r="T204" s="92"/>
      <c r="U204" s="92"/>
      <c r="V204" s="92"/>
      <c r="W204" s="92"/>
      <c r="X204" s="92"/>
      <c r="Y204" s="92"/>
      <c r="Z204" s="92"/>
      <c r="AA204" s="92"/>
      <c r="AB204" s="92"/>
      <c r="AC204" s="92"/>
      <c r="AD204" s="92"/>
      <c r="AE204" s="92"/>
      <c r="AF204" s="92"/>
      <c r="AG204" s="92"/>
      <c r="AH204" s="92"/>
      <c r="AI204" s="92"/>
      <c r="AJ204" s="92"/>
      <c r="AK204" s="92"/>
      <c r="AL204" s="92"/>
      <c r="AM204" s="92"/>
      <c r="AN204" s="92"/>
      <c r="AO204" s="92"/>
      <c r="AP204" s="92"/>
      <c r="BV204" s="7"/>
      <c r="BW204" s="7"/>
      <c r="BX204" s="7"/>
      <c r="BY204" s="7"/>
      <c r="BZ204" s="7"/>
      <c r="CA204" s="7"/>
      <c r="CB204" s="7"/>
      <c r="CC204" s="7"/>
      <c r="CD204" s="7"/>
      <c r="CE204" s="5"/>
      <c r="CF204" s="6"/>
      <c r="CG204" s="6"/>
      <c r="CJ204" s="269"/>
      <c r="CK204" s="269"/>
      <c r="CL204" s="269"/>
      <c r="CM204" s="16"/>
      <c r="CN204" s="18"/>
      <c r="CP204" s="9"/>
      <c r="CQ204" s="9"/>
      <c r="CR204" s="9"/>
      <c r="CS204" s="9"/>
      <c r="CT204" s="12"/>
      <c r="CU204" s="12"/>
      <c r="CV204" s="12"/>
      <c r="CW204" s="7"/>
    </row>
    <row r="205" spans="2:104" x14ac:dyDescent="0.25">
      <c r="B205" s="92"/>
      <c r="C205" s="92"/>
      <c r="D205" s="92"/>
      <c r="E205" s="92"/>
      <c r="F205" s="92"/>
      <c r="G205" s="92"/>
      <c r="H205" s="321"/>
      <c r="I205" s="321"/>
      <c r="J205" s="92"/>
      <c r="K205" s="92"/>
      <c r="L205" s="92"/>
      <c r="M205" s="92"/>
      <c r="N205" s="92"/>
      <c r="O205" s="92"/>
      <c r="P205" s="92"/>
      <c r="Q205" s="92"/>
      <c r="R205" s="92"/>
      <c r="S205" s="92"/>
      <c r="T205" s="92"/>
      <c r="U205" s="92"/>
      <c r="V205" s="92"/>
      <c r="W205" s="92"/>
      <c r="X205" s="92"/>
      <c r="Y205" s="92"/>
      <c r="Z205" s="92"/>
      <c r="AA205" s="92"/>
      <c r="AB205" s="92"/>
      <c r="AC205" s="92"/>
      <c r="AD205" s="92"/>
      <c r="AE205" s="92"/>
      <c r="AF205" s="92"/>
      <c r="AG205" s="92"/>
      <c r="AH205" s="92"/>
      <c r="AI205" s="92"/>
      <c r="AJ205" s="92"/>
      <c r="AK205" s="92"/>
      <c r="AL205" s="92"/>
      <c r="AM205" s="92"/>
      <c r="AN205" s="92"/>
      <c r="AO205" s="92"/>
      <c r="AP205" s="92"/>
      <c r="BV205" s="7"/>
      <c r="BW205" s="5"/>
      <c r="BX205" s="5"/>
      <c r="BY205" s="5"/>
      <c r="BZ205" s="5"/>
      <c r="CA205" s="5"/>
      <c r="CB205" s="7"/>
      <c r="CC205" s="7"/>
      <c r="CD205" s="7"/>
      <c r="CE205" s="7"/>
      <c r="CF205" s="6"/>
      <c r="CG205" s="6"/>
      <c r="CJ205" s="600"/>
      <c r="CK205" s="600"/>
      <c r="CL205" s="600"/>
      <c r="CM205" s="290"/>
      <c r="CN205" s="18"/>
      <c r="CP205" s="9"/>
      <c r="CQ205" s="9"/>
      <c r="CR205" s="9"/>
      <c r="CS205" s="9"/>
      <c r="CT205" s="12"/>
      <c r="CU205" s="12"/>
      <c r="CV205" s="12"/>
      <c r="CW205" s="7"/>
    </row>
    <row r="206" spans="2:104" x14ac:dyDescent="0.25">
      <c r="B206" s="92"/>
      <c r="C206" s="92"/>
      <c r="D206" s="92"/>
      <c r="E206" s="92"/>
      <c r="F206" s="92"/>
      <c r="G206" s="92"/>
      <c r="H206" s="321"/>
      <c r="I206" s="321"/>
      <c r="J206" s="92"/>
      <c r="K206" s="92"/>
      <c r="L206" s="92"/>
      <c r="M206" s="92"/>
      <c r="N206" s="92"/>
      <c r="O206" s="92"/>
      <c r="P206" s="92"/>
      <c r="Q206" s="92"/>
      <c r="R206" s="92"/>
      <c r="S206" s="92"/>
      <c r="T206" s="92"/>
      <c r="U206" s="92"/>
      <c r="V206" s="92"/>
      <c r="W206" s="92"/>
      <c r="X206" s="92"/>
      <c r="Y206" s="92"/>
      <c r="Z206" s="92"/>
      <c r="AA206" s="92"/>
      <c r="AB206" s="92"/>
      <c r="AC206" s="92"/>
      <c r="AD206" s="92"/>
      <c r="AE206" s="92"/>
      <c r="AF206" s="92"/>
      <c r="AG206" s="92"/>
      <c r="AH206" s="92"/>
      <c r="AI206" s="92"/>
      <c r="AJ206" s="92"/>
      <c r="AK206" s="92"/>
      <c r="AL206" s="92"/>
      <c r="AM206" s="92"/>
      <c r="AN206" s="92"/>
      <c r="AO206" s="92"/>
      <c r="AP206" s="92"/>
      <c r="BV206" s="5"/>
      <c r="BW206" s="5"/>
      <c r="BX206" s="5"/>
      <c r="BY206" s="5"/>
      <c r="BZ206" s="5"/>
      <c r="CA206" s="5"/>
      <c r="CB206" s="5"/>
      <c r="CC206" s="5"/>
      <c r="CD206" s="5"/>
      <c r="CE206" s="7"/>
      <c r="CF206" s="6"/>
      <c r="CG206" s="6"/>
      <c r="CJ206" s="600"/>
      <c r="CK206" s="600"/>
      <c r="CL206" s="600"/>
      <c r="CM206" s="95"/>
      <c r="CN206" s="18"/>
    </row>
    <row r="207" spans="2:104" x14ac:dyDescent="0.25">
      <c r="B207" s="92"/>
      <c r="C207" s="92"/>
      <c r="D207" s="92"/>
      <c r="E207" s="92"/>
      <c r="F207" s="92"/>
      <c r="G207" s="92"/>
      <c r="H207" s="321"/>
      <c r="I207" s="321"/>
      <c r="J207" s="92"/>
      <c r="K207" s="92"/>
      <c r="L207" s="92"/>
      <c r="M207" s="92"/>
      <c r="N207" s="92"/>
      <c r="O207" s="92"/>
      <c r="P207" s="92"/>
      <c r="Q207" s="92"/>
      <c r="R207" s="92"/>
      <c r="S207" s="92"/>
      <c r="T207" s="92"/>
      <c r="U207" s="92"/>
      <c r="V207" s="92"/>
      <c r="W207" s="92"/>
      <c r="X207" s="92"/>
      <c r="Y207" s="92"/>
      <c r="Z207" s="92"/>
      <c r="AA207" s="92"/>
      <c r="AB207" s="92"/>
      <c r="AC207" s="92"/>
      <c r="AD207" s="92"/>
      <c r="AE207" s="92"/>
      <c r="AF207" s="92"/>
      <c r="AG207" s="92"/>
      <c r="AH207" s="92"/>
      <c r="AI207" s="92"/>
      <c r="AJ207" s="92"/>
      <c r="AK207" s="92"/>
      <c r="AL207" s="92"/>
      <c r="AM207" s="92"/>
      <c r="AN207" s="92"/>
      <c r="AO207" s="92"/>
      <c r="AP207" s="92"/>
      <c r="BV207" s="5"/>
      <c r="BW207" s="5"/>
      <c r="BX207" s="5"/>
      <c r="BY207" s="5"/>
      <c r="BZ207" s="5"/>
      <c r="CA207" s="5"/>
      <c r="CB207" s="5"/>
      <c r="CC207" s="5"/>
      <c r="CD207" s="5"/>
      <c r="CE207" s="5"/>
      <c r="CF207" s="5"/>
      <c r="CG207" s="5"/>
      <c r="CJ207" s="600"/>
      <c r="CK207" s="600"/>
      <c r="CL207" s="600"/>
      <c r="CM207" s="290"/>
      <c r="CN207" s="18"/>
    </row>
    <row r="208" spans="2:104" x14ac:dyDescent="0.25">
      <c r="B208" s="92"/>
      <c r="C208" s="92"/>
      <c r="D208" s="92"/>
      <c r="E208" s="92"/>
      <c r="F208" s="92"/>
      <c r="G208" s="92"/>
      <c r="H208" s="321"/>
      <c r="I208" s="321"/>
      <c r="J208" s="92"/>
      <c r="K208" s="92"/>
      <c r="L208" s="92"/>
      <c r="M208" s="92"/>
      <c r="N208" s="92"/>
      <c r="O208" s="92"/>
      <c r="P208" s="92"/>
      <c r="Q208" s="92"/>
      <c r="R208" s="92"/>
      <c r="S208" s="92"/>
      <c r="T208" s="92"/>
      <c r="U208" s="92"/>
      <c r="V208" s="92"/>
      <c r="W208" s="92"/>
      <c r="X208" s="92"/>
      <c r="Y208" s="92"/>
      <c r="Z208" s="92"/>
      <c r="AA208" s="92"/>
      <c r="AB208" s="92"/>
      <c r="AC208" s="92"/>
      <c r="AD208" s="92"/>
      <c r="AE208" s="92"/>
      <c r="AF208" s="92"/>
      <c r="AG208" s="92"/>
      <c r="AH208" s="92"/>
      <c r="AI208" s="92"/>
      <c r="AJ208" s="92"/>
      <c r="AK208" s="92"/>
      <c r="AL208" s="92"/>
      <c r="AM208" s="92"/>
      <c r="AN208" s="92"/>
      <c r="AO208" s="92"/>
      <c r="AP208" s="92"/>
      <c r="BV208" s="5"/>
      <c r="BW208" s="7"/>
      <c r="BX208" s="7"/>
      <c r="BY208" s="7"/>
      <c r="BZ208" s="7"/>
      <c r="CA208" s="7"/>
      <c r="CB208" s="5"/>
      <c r="CC208" s="5"/>
      <c r="CD208" s="5"/>
      <c r="CE208" s="5"/>
      <c r="CF208" s="5"/>
      <c r="CG208" s="5"/>
      <c r="CJ208" s="600"/>
      <c r="CK208" s="600"/>
      <c r="CL208" s="600"/>
      <c r="CM208" s="95"/>
      <c r="CN208" s="18"/>
    </row>
    <row r="209" spans="2:85" x14ac:dyDescent="0.25">
      <c r="B209" s="92"/>
      <c r="C209" s="92"/>
      <c r="D209" s="92"/>
      <c r="E209" s="92"/>
      <c r="F209" s="92"/>
      <c r="G209" s="92"/>
      <c r="H209" s="321"/>
      <c r="I209" s="321"/>
      <c r="J209" s="92"/>
      <c r="K209" s="92"/>
      <c r="L209" s="92"/>
      <c r="M209" s="92"/>
      <c r="N209" s="92"/>
      <c r="O209" s="92"/>
      <c r="P209" s="92"/>
      <c r="Q209" s="92"/>
      <c r="R209" s="92"/>
      <c r="S209" s="92"/>
      <c r="T209" s="92"/>
      <c r="U209" s="92"/>
      <c r="V209" s="92"/>
      <c r="W209" s="92"/>
      <c r="X209" s="92"/>
      <c r="Y209" s="92"/>
      <c r="Z209" s="92"/>
      <c r="AA209" s="92"/>
      <c r="AB209" s="92"/>
      <c r="AC209" s="92"/>
      <c r="AD209" s="92"/>
      <c r="AE209" s="92"/>
      <c r="AF209" s="92"/>
      <c r="AG209" s="92"/>
      <c r="AH209" s="92"/>
      <c r="AI209" s="92"/>
      <c r="AJ209" s="92"/>
      <c r="AK209" s="92"/>
      <c r="AL209" s="92"/>
      <c r="AM209" s="92"/>
      <c r="AN209" s="92"/>
      <c r="AO209" s="92"/>
      <c r="AP209" s="92"/>
      <c r="BV209" s="7"/>
      <c r="BW209" s="7"/>
      <c r="BX209" s="7"/>
      <c r="BY209" s="7"/>
      <c r="BZ209" s="7"/>
      <c r="CA209" s="7"/>
      <c r="CB209" s="7"/>
      <c r="CC209" s="7"/>
      <c r="CD209" s="7"/>
      <c r="CE209" s="5"/>
      <c r="CF209" s="5"/>
      <c r="CG209" s="5"/>
    </row>
    <row r="210" spans="2:85" x14ac:dyDescent="0.25">
      <c r="B210" s="92"/>
      <c r="C210" s="92"/>
      <c r="D210" s="92"/>
      <c r="E210" s="92"/>
      <c r="F210" s="92"/>
      <c r="G210" s="92"/>
      <c r="H210" s="321"/>
      <c r="I210" s="321"/>
      <c r="J210" s="92"/>
      <c r="K210" s="92"/>
      <c r="L210" s="92"/>
      <c r="M210" s="92"/>
      <c r="N210" s="92"/>
      <c r="O210" s="92"/>
      <c r="P210" s="92"/>
      <c r="Q210" s="92"/>
      <c r="R210" s="92"/>
      <c r="S210" s="92"/>
      <c r="T210" s="92"/>
      <c r="U210" s="92"/>
      <c r="V210" s="92"/>
      <c r="W210" s="92"/>
      <c r="X210" s="92"/>
      <c r="Y210" s="92"/>
      <c r="Z210" s="92"/>
      <c r="AA210" s="92"/>
      <c r="AB210" s="92"/>
      <c r="AC210" s="92"/>
      <c r="AD210" s="92"/>
      <c r="AE210" s="92"/>
      <c r="AF210" s="92"/>
      <c r="AG210" s="92"/>
      <c r="AH210" s="92"/>
      <c r="AI210" s="92"/>
      <c r="AJ210" s="92"/>
      <c r="AK210" s="92"/>
      <c r="AL210" s="92"/>
      <c r="AM210" s="92"/>
      <c r="AN210" s="92"/>
      <c r="AO210" s="92"/>
      <c r="AP210" s="92"/>
      <c r="BV210" s="7"/>
      <c r="CB210" s="7"/>
      <c r="CC210" s="7"/>
      <c r="CD210" s="7"/>
      <c r="CE210" s="7"/>
      <c r="CF210" s="7"/>
      <c r="CG210" s="7"/>
    </row>
    <row r="211" spans="2:85" x14ac:dyDescent="0.25">
      <c r="B211" s="92"/>
      <c r="C211" s="92"/>
      <c r="D211" s="92"/>
      <c r="E211" s="92"/>
      <c r="F211" s="92"/>
      <c r="G211" s="92"/>
      <c r="H211" s="321"/>
      <c r="I211" s="321"/>
      <c r="J211" s="92"/>
      <c r="K211" s="92"/>
      <c r="L211" s="92"/>
      <c r="M211" s="92"/>
      <c r="N211" s="92"/>
      <c r="O211" s="92"/>
      <c r="P211" s="92"/>
      <c r="Q211" s="92"/>
      <c r="R211" s="92"/>
      <c r="S211" s="92"/>
      <c r="T211" s="92"/>
      <c r="U211" s="92"/>
      <c r="V211" s="92"/>
      <c r="W211" s="92"/>
      <c r="X211" s="92"/>
      <c r="Y211" s="92"/>
      <c r="Z211" s="92"/>
      <c r="AA211" s="92"/>
      <c r="AB211" s="92"/>
      <c r="AC211" s="92"/>
      <c r="AD211" s="92"/>
      <c r="AE211" s="92"/>
      <c r="AF211" s="92"/>
      <c r="AG211" s="92"/>
      <c r="AH211" s="92"/>
      <c r="AI211" s="92"/>
      <c r="AJ211" s="92"/>
      <c r="AK211" s="92"/>
      <c r="AL211" s="92"/>
      <c r="AM211" s="92"/>
      <c r="AN211" s="92"/>
      <c r="AO211" s="92"/>
      <c r="AP211" s="92"/>
      <c r="CE211" s="7"/>
      <c r="CF211" s="7"/>
      <c r="CG211" s="7"/>
    </row>
    <row r="212" spans="2:85" x14ac:dyDescent="0.25">
      <c r="B212" s="92"/>
      <c r="C212" s="92"/>
      <c r="D212" s="92"/>
      <c r="E212" s="92"/>
      <c r="F212" s="92"/>
      <c r="G212" s="92"/>
      <c r="H212" s="321"/>
      <c r="I212" s="321"/>
      <c r="J212" s="92"/>
      <c r="K212" s="92"/>
      <c r="L212" s="92"/>
      <c r="M212" s="92"/>
      <c r="N212" s="92"/>
      <c r="O212" s="92"/>
      <c r="P212" s="92"/>
      <c r="Q212" s="92"/>
      <c r="R212" s="92"/>
      <c r="S212" s="92"/>
      <c r="T212" s="92"/>
      <c r="U212" s="92"/>
      <c r="V212" s="92"/>
      <c r="W212" s="92"/>
      <c r="X212" s="92"/>
      <c r="Y212" s="92"/>
      <c r="Z212" s="92"/>
      <c r="AA212" s="92"/>
      <c r="AB212" s="92"/>
      <c r="AC212" s="92"/>
      <c r="AD212" s="92"/>
      <c r="AE212" s="92"/>
      <c r="AF212" s="92"/>
      <c r="AG212" s="92"/>
      <c r="AH212" s="92"/>
      <c r="AI212" s="92"/>
      <c r="AJ212" s="92"/>
      <c r="AK212" s="92"/>
      <c r="AL212" s="92"/>
      <c r="AM212" s="92"/>
      <c r="AN212" s="92"/>
      <c r="AO212" s="92"/>
      <c r="AP212" s="92"/>
    </row>
    <row r="213" spans="2:85" x14ac:dyDescent="0.25">
      <c r="B213" s="92"/>
      <c r="C213" s="92"/>
      <c r="D213" s="92"/>
      <c r="E213" s="92"/>
      <c r="F213" s="92"/>
      <c r="G213" s="92"/>
      <c r="H213" s="321"/>
      <c r="I213" s="321"/>
      <c r="J213" s="92"/>
      <c r="K213" s="92"/>
      <c r="L213" s="92"/>
      <c r="M213" s="92"/>
      <c r="N213" s="92"/>
      <c r="O213" s="92"/>
      <c r="P213" s="92"/>
      <c r="Q213" s="92"/>
      <c r="R213" s="92"/>
      <c r="S213" s="92"/>
      <c r="T213" s="92"/>
      <c r="U213" s="92"/>
      <c r="V213" s="92"/>
      <c r="W213" s="92"/>
      <c r="X213" s="92"/>
      <c r="Y213" s="92"/>
      <c r="Z213" s="92"/>
      <c r="AA213" s="92"/>
      <c r="AB213" s="92"/>
      <c r="AC213" s="92"/>
      <c r="AD213" s="92"/>
      <c r="AE213" s="92"/>
      <c r="AF213" s="92"/>
      <c r="AG213" s="92"/>
      <c r="AH213" s="92"/>
      <c r="AI213" s="92"/>
      <c r="AJ213" s="92"/>
      <c r="AK213" s="92"/>
      <c r="AL213" s="92"/>
      <c r="AM213" s="92"/>
      <c r="AN213" s="92"/>
      <c r="AO213" s="92"/>
      <c r="AP213" s="92"/>
    </row>
    <row r="214" spans="2:85" x14ac:dyDescent="0.25">
      <c r="B214" s="92"/>
      <c r="C214" s="92"/>
      <c r="D214" s="92"/>
      <c r="E214" s="92"/>
      <c r="F214" s="92"/>
      <c r="G214" s="92"/>
      <c r="H214" s="321"/>
      <c r="I214" s="321"/>
      <c r="J214" s="92"/>
      <c r="K214" s="92"/>
      <c r="L214" s="92"/>
      <c r="M214" s="92"/>
      <c r="N214" s="92"/>
      <c r="O214" s="92"/>
      <c r="P214" s="92"/>
      <c r="Q214" s="92"/>
      <c r="R214" s="92"/>
      <c r="S214" s="92"/>
      <c r="T214" s="92"/>
      <c r="U214" s="92"/>
      <c r="V214" s="92"/>
      <c r="W214" s="92"/>
      <c r="X214" s="92"/>
      <c r="Y214" s="92"/>
      <c r="Z214" s="92"/>
      <c r="AA214" s="92"/>
      <c r="AB214" s="92"/>
      <c r="AC214" s="92"/>
      <c r="AD214" s="92"/>
      <c r="AE214" s="92"/>
      <c r="AF214" s="92"/>
      <c r="AG214" s="92"/>
      <c r="AH214" s="92"/>
      <c r="AI214" s="92"/>
      <c r="AJ214" s="92"/>
      <c r="AK214" s="92"/>
      <c r="AL214" s="92"/>
      <c r="AM214" s="92"/>
      <c r="AN214" s="92"/>
      <c r="AO214" s="92"/>
      <c r="AP214" s="92"/>
    </row>
    <row r="215" spans="2:85" x14ac:dyDescent="0.25">
      <c r="B215" s="92"/>
      <c r="C215" s="92"/>
      <c r="D215" s="92"/>
      <c r="E215" s="92"/>
      <c r="F215" s="92"/>
      <c r="G215" s="92"/>
      <c r="H215" s="321"/>
      <c r="I215" s="321"/>
      <c r="J215" s="92"/>
      <c r="K215" s="92"/>
      <c r="L215" s="92"/>
      <c r="M215" s="92"/>
      <c r="N215" s="92"/>
      <c r="O215" s="92"/>
      <c r="P215" s="92"/>
      <c r="Q215" s="92"/>
      <c r="R215" s="92"/>
      <c r="S215" s="92"/>
      <c r="T215" s="92"/>
      <c r="U215" s="92"/>
      <c r="V215" s="92"/>
      <c r="W215" s="92"/>
      <c r="X215" s="92"/>
      <c r="Y215" s="92"/>
      <c r="Z215" s="92"/>
      <c r="AA215" s="92"/>
      <c r="AB215" s="92"/>
      <c r="AC215" s="92"/>
      <c r="AD215" s="92"/>
      <c r="AE215" s="92"/>
      <c r="AF215" s="92"/>
      <c r="AG215" s="92"/>
      <c r="AH215" s="92"/>
      <c r="AI215" s="92"/>
      <c r="AJ215" s="92"/>
      <c r="AK215" s="92"/>
      <c r="AL215" s="92"/>
      <c r="AM215" s="92"/>
      <c r="AN215" s="92"/>
      <c r="AO215" s="92"/>
      <c r="AP215" s="92"/>
    </row>
    <row r="216" spans="2:85" x14ac:dyDescent="0.25">
      <c r="B216" s="92"/>
      <c r="C216" s="92"/>
      <c r="D216" s="92"/>
      <c r="E216" s="92"/>
      <c r="F216" s="92"/>
      <c r="G216" s="92"/>
      <c r="H216" s="321"/>
      <c r="I216" s="321"/>
      <c r="J216" s="92"/>
      <c r="K216" s="92"/>
      <c r="L216" s="92"/>
      <c r="M216" s="92"/>
      <c r="N216" s="92"/>
      <c r="O216" s="92"/>
      <c r="P216" s="92"/>
      <c r="Q216" s="92"/>
      <c r="R216" s="92"/>
      <c r="S216" s="92"/>
      <c r="T216" s="92"/>
      <c r="U216" s="92"/>
      <c r="V216" s="92"/>
      <c r="W216" s="92"/>
      <c r="X216" s="92"/>
      <c r="Y216" s="92"/>
      <c r="Z216" s="92"/>
      <c r="AA216" s="92"/>
      <c r="AB216" s="92"/>
      <c r="AC216" s="92"/>
      <c r="AD216" s="92"/>
      <c r="AE216" s="92"/>
      <c r="AF216" s="92"/>
      <c r="AG216" s="92"/>
      <c r="AH216" s="92"/>
      <c r="AI216" s="92"/>
      <c r="AJ216" s="92"/>
      <c r="AK216" s="92"/>
      <c r="AL216" s="92"/>
      <c r="AM216" s="92"/>
      <c r="AN216" s="92"/>
      <c r="AO216" s="92"/>
      <c r="AP216" s="92"/>
    </row>
    <row r="217" spans="2:85" x14ac:dyDescent="0.25">
      <c r="B217" s="92"/>
      <c r="C217" s="92"/>
      <c r="D217" s="92"/>
      <c r="E217" s="92"/>
      <c r="F217" s="92"/>
      <c r="G217" s="92"/>
      <c r="H217" s="321"/>
      <c r="I217" s="321"/>
      <c r="J217" s="92"/>
      <c r="K217" s="92"/>
      <c r="L217" s="92"/>
      <c r="M217" s="92"/>
      <c r="N217" s="92"/>
      <c r="O217" s="92"/>
      <c r="P217" s="92"/>
      <c r="Q217" s="92"/>
      <c r="R217" s="92"/>
      <c r="S217" s="92"/>
      <c r="T217" s="92"/>
      <c r="U217" s="92"/>
      <c r="V217" s="92"/>
      <c r="W217" s="92"/>
      <c r="X217" s="92"/>
      <c r="Y217" s="92"/>
      <c r="Z217" s="92"/>
      <c r="AA217" s="92"/>
      <c r="AB217" s="92"/>
      <c r="AC217" s="92"/>
      <c r="AD217" s="92"/>
      <c r="AE217" s="92"/>
      <c r="AF217" s="92"/>
      <c r="AG217" s="92"/>
      <c r="AH217" s="92"/>
      <c r="AI217" s="92"/>
      <c r="AJ217" s="92"/>
      <c r="AK217" s="92"/>
      <c r="AL217" s="92"/>
      <c r="AM217" s="92"/>
      <c r="AN217" s="92"/>
      <c r="AO217" s="92"/>
      <c r="AP217" s="92"/>
    </row>
    <row r="218" spans="2:85" x14ac:dyDescent="0.25">
      <c r="B218" s="92"/>
      <c r="C218" s="92"/>
      <c r="D218" s="92"/>
      <c r="E218" s="92"/>
      <c r="F218" s="92"/>
      <c r="G218" s="92"/>
      <c r="H218" s="321"/>
      <c r="I218" s="321"/>
      <c r="J218" s="92"/>
      <c r="K218" s="92"/>
      <c r="L218" s="92"/>
      <c r="M218" s="92"/>
      <c r="N218" s="92"/>
      <c r="O218" s="92"/>
      <c r="P218" s="92"/>
      <c r="Q218" s="92"/>
      <c r="R218" s="92"/>
      <c r="S218" s="92"/>
      <c r="T218" s="92"/>
      <c r="U218" s="92"/>
      <c r="V218" s="92"/>
      <c r="W218" s="92"/>
      <c r="X218" s="92"/>
      <c r="Y218" s="92"/>
      <c r="Z218" s="92"/>
      <c r="AA218" s="92"/>
      <c r="AB218" s="92"/>
      <c r="AC218" s="92"/>
      <c r="AD218" s="92"/>
      <c r="AE218" s="92"/>
      <c r="AF218" s="92"/>
      <c r="AG218" s="92"/>
      <c r="AH218" s="92"/>
      <c r="AI218" s="92"/>
      <c r="AJ218" s="92"/>
      <c r="AK218" s="92"/>
      <c r="AL218" s="92"/>
      <c r="AM218" s="92"/>
      <c r="AN218" s="92"/>
      <c r="AO218" s="92"/>
      <c r="AP218" s="92"/>
    </row>
    <row r="219" spans="2:85" x14ac:dyDescent="0.25">
      <c r="B219" s="92"/>
      <c r="C219" s="92"/>
      <c r="D219" s="92"/>
      <c r="E219" s="92"/>
      <c r="F219" s="92"/>
      <c r="G219" s="92"/>
      <c r="H219" s="321"/>
      <c r="I219" s="321"/>
      <c r="J219" s="92"/>
      <c r="K219" s="92"/>
      <c r="L219" s="92"/>
      <c r="M219" s="92"/>
      <c r="N219" s="92"/>
      <c r="O219" s="92"/>
      <c r="P219" s="92"/>
      <c r="Q219" s="92"/>
      <c r="R219" s="92"/>
      <c r="S219" s="92"/>
      <c r="T219" s="92"/>
      <c r="U219" s="92"/>
      <c r="V219" s="92"/>
      <c r="W219" s="92"/>
      <c r="X219" s="92"/>
      <c r="Y219" s="92"/>
      <c r="Z219" s="92"/>
      <c r="AA219" s="92"/>
      <c r="AB219" s="92"/>
      <c r="AC219" s="92"/>
      <c r="AD219" s="92"/>
      <c r="AE219" s="92"/>
      <c r="AF219" s="92"/>
      <c r="AG219" s="92"/>
      <c r="AH219" s="92"/>
      <c r="AI219" s="92"/>
      <c r="AJ219" s="92"/>
      <c r="AK219" s="92"/>
      <c r="AL219" s="92"/>
      <c r="AM219" s="92"/>
      <c r="AN219" s="92"/>
      <c r="AO219" s="92"/>
      <c r="AP219" s="92"/>
    </row>
    <row r="220" spans="2:85" x14ac:dyDescent="0.25">
      <c r="B220" s="92"/>
      <c r="C220" s="92"/>
      <c r="D220" s="92"/>
      <c r="E220" s="92"/>
      <c r="F220" s="92"/>
      <c r="G220" s="92"/>
      <c r="H220" s="321"/>
      <c r="I220" s="321"/>
      <c r="J220" s="92"/>
      <c r="K220" s="92"/>
      <c r="L220" s="92"/>
      <c r="M220" s="92"/>
      <c r="N220" s="92"/>
      <c r="O220" s="92"/>
      <c r="P220" s="92"/>
      <c r="Q220" s="92"/>
      <c r="R220" s="92"/>
      <c r="S220" s="92"/>
      <c r="T220" s="92"/>
      <c r="U220" s="92"/>
      <c r="V220" s="92"/>
      <c r="W220" s="92"/>
      <c r="X220" s="92"/>
      <c r="Y220" s="92"/>
      <c r="Z220" s="92"/>
      <c r="AA220" s="92"/>
      <c r="AB220" s="92"/>
      <c r="AC220" s="92"/>
      <c r="AD220" s="92"/>
      <c r="AE220" s="92"/>
      <c r="AF220" s="92"/>
      <c r="AG220" s="92"/>
      <c r="AH220" s="92"/>
      <c r="AI220" s="92"/>
      <c r="AJ220" s="92"/>
      <c r="AK220" s="92"/>
      <c r="AL220" s="92"/>
      <c r="AM220" s="92"/>
      <c r="AN220" s="92"/>
      <c r="AO220" s="92"/>
      <c r="AP220" s="92"/>
    </row>
    <row r="221" spans="2:85" x14ac:dyDescent="0.25">
      <c r="B221" s="92"/>
      <c r="C221" s="92"/>
      <c r="D221" s="92"/>
      <c r="E221" s="92"/>
      <c r="F221" s="92"/>
      <c r="G221" s="92"/>
      <c r="H221" s="321"/>
      <c r="I221" s="321"/>
      <c r="J221" s="92"/>
      <c r="K221" s="92"/>
      <c r="L221" s="92"/>
      <c r="M221" s="92"/>
      <c r="N221" s="92"/>
      <c r="O221" s="92"/>
      <c r="P221" s="92"/>
      <c r="Q221" s="92"/>
      <c r="R221" s="92"/>
      <c r="S221" s="92"/>
      <c r="T221" s="92"/>
      <c r="U221" s="92"/>
      <c r="V221" s="92"/>
      <c r="W221" s="92"/>
      <c r="X221" s="92"/>
      <c r="Y221" s="92"/>
      <c r="Z221" s="92"/>
      <c r="AA221" s="92"/>
      <c r="AB221" s="92"/>
      <c r="AC221" s="92"/>
      <c r="AD221" s="92"/>
      <c r="AE221" s="92"/>
      <c r="AF221" s="92"/>
      <c r="AG221" s="92"/>
      <c r="AH221" s="92"/>
      <c r="AI221" s="92"/>
      <c r="AJ221" s="92"/>
      <c r="AK221" s="92"/>
      <c r="AL221" s="92"/>
      <c r="AM221" s="92"/>
      <c r="AN221" s="92"/>
      <c r="AO221" s="92"/>
      <c r="AP221" s="92"/>
    </row>
    <row r="222" spans="2:85" x14ac:dyDescent="0.25">
      <c r="B222" s="92"/>
      <c r="C222" s="92"/>
      <c r="D222" s="92"/>
      <c r="E222" s="92"/>
      <c r="F222" s="92"/>
      <c r="G222" s="92"/>
      <c r="H222" s="321"/>
      <c r="I222" s="321"/>
      <c r="J222" s="92"/>
      <c r="K222" s="92"/>
      <c r="L222" s="92"/>
      <c r="M222" s="92"/>
      <c r="N222" s="92"/>
      <c r="O222" s="92"/>
      <c r="P222" s="92"/>
      <c r="Q222" s="92"/>
      <c r="R222" s="92"/>
      <c r="S222" s="92"/>
      <c r="T222" s="92"/>
      <c r="U222" s="92"/>
      <c r="V222" s="92"/>
      <c r="W222" s="92"/>
      <c r="X222" s="92"/>
      <c r="Y222" s="92"/>
      <c r="Z222" s="92"/>
      <c r="AA222" s="92"/>
      <c r="AB222" s="92"/>
      <c r="AC222" s="92"/>
      <c r="AD222" s="92"/>
      <c r="AE222" s="92"/>
      <c r="AF222" s="92"/>
      <c r="AG222" s="92"/>
      <c r="AH222" s="92"/>
      <c r="AI222" s="92"/>
      <c r="AJ222" s="92"/>
      <c r="AK222" s="92"/>
      <c r="AL222" s="92"/>
      <c r="AM222" s="92"/>
      <c r="AN222" s="92"/>
      <c r="AO222" s="92"/>
      <c r="AP222" s="92"/>
    </row>
    <row r="223" spans="2:85" x14ac:dyDescent="0.25">
      <c r="B223" s="92"/>
      <c r="C223" s="92"/>
      <c r="D223" s="92"/>
      <c r="E223" s="92"/>
      <c r="F223" s="92"/>
      <c r="G223" s="92"/>
      <c r="H223" s="321"/>
      <c r="I223" s="321"/>
      <c r="J223" s="92"/>
      <c r="K223" s="92"/>
      <c r="L223" s="92"/>
      <c r="M223" s="92"/>
      <c r="N223" s="92"/>
      <c r="O223" s="92"/>
      <c r="P223" s="92"/>
      <c r="Q223" s="92"/>
      <c r="R223" s="92"/>
      <c r="S223" s="92"/>
      <c r="T223" s="92"/>
      <c r="U223" s="92"/>
      <c r="V223" s="92"/>
      <c r="W223" s="92"/>
      <c r="X223" s="92"/>
      <c r="Y223" s="92"/>
      <c r="Z223" s="92"/>
      <c r="AA223" s="92"/>
      <c r="AB223" s="92"/>
      <c r="AC223" s="92"/>
      <c r="AD223" s="92"/>
      <c r="AE223" s="92"/>
      <c r="AF223" s="92"/>
      <c r="AG223" s="92"/>
      <c r="AH223" s="92"/>
      <c r="AI223" s="92"/>
      <c r="AJ223" s="92"/>
      <c r="AK223" s="92"/>
      <c r="AL223" s="92"/>
      <c r="AM223" s="92"/>
      <c r="AN223" s="92"/>
      <c r="AO223" s="92"/>
      <c r="AP223" s="92"/>
    </row>
    <row r="224" spans="2:85" x14ac:dyDescent="0.25">
      <c r="B224" s="92"/>
      <c r="C224" s="92"/>
      <c r="D224" s="92"/>
      <c r="E224" s="92"/>
      <c r="F224" s="92"/>
      <c r="G224" s="92"/>
      <c r="H224" s="321"/>
      <c r="I224" s="321"/>
      <c r="J224" s="92"/>
      <c r="K224" s="92"/>
      <c r="L224" s="92"/>
      <c r="M224" s="92"/>
      <c r="N224" s="92"/>
      <c r="O224" s="92"/>
      <c r="P224" s="92"/>
      <c r="Q224" s="92"/>
      <c r="R224" s="92"/>
      <c r="S224" s="92"/>
      <c r="T224" s="92"/>
      <c r="U224" s="92"/>
      <c r="V224" s="92"/>
      <c r="W224" s="92"/>
      <c r="X224" s="92"/>
      <c r="Y224" s="92"/>
      <c r="Z224" s="92"/>
      <c r="AA224" s="92"/>
      <c r="AB224" s="92"/>
      <c r="AC224" s="92"/>
      <c r="AD224" s="92"/>
      <c r="AE224" s="92"/>
      <c r="AF224" s="92"/>
      <c r="AG224" s="92"/>
      <c r="AH224" s="92"/>
      <c r="AI224" s="92"/>
      <c r="AJ224" s="92"/>
      <c r="AK224" s="92"/>
      <c r="AL224" s="92"/>
      <c r="AM224" s="92"/>
      <c r="AN224" s="92"/>
      <c r="AO224" s="92"/>
      <c r="AP224" s="92"/>
    </row>
    <row r="225" spans="2:42" x14ac:dyDescent="0.25">
      <c r="B225" s="92"/>
      <c r="C225" s="92"/>
      <c r="D225" s="92"/>
      <c r="E225" s="92"/>
      <c r="F225" s="92"/>
      <c r="G225" s="92"/>
      <c r="H225" s="321"/>
      <c r="I225" s="321"/>
      <c r="J225" s="92"/>
      <c r="K225" s="92"/>
      <c r="L225" s="92"/>
      <c r="M225" s="92"/>
      <c r="N225" s="92"/>
      <c r="O225" s="92"/>
      <c r="P225" s="92"/>
      <c r="Q225" s="92"/>
      <c r="R225" s="92"/>
      <c r="S225" s="92"/>
      <c r="T225" s="92"/>
      <c r="U225" s="92"/>
      <c r="V225" s="92"/>
      <c r="W225" s="92"/>
      <c r="X225" s="92"/>
      <c r="Y225" s="92"/>
      <c r="Z225" s="92"/>
      <c r="AA225" s="92"/>
      <c r="AB225" s="92"/>
      <c r="AC225" s="92"/>
      <c r="AD225" s="92"/>
      <c r="AE225" s="92"/>
      <c r="AF225" s="92"/>
      <c r="AG225" s="92"/>
      <c r="AH225" s="92"/>
      <c r="AI225" s="92"/>
      <c r="AJ225" s="92"/>
      <c r="AK225" s="92"/>
      <c r="AL225" s="92"/>
      <c r="AM225" s="92"/>
      <c r="AN225" s="92"/>
      <c r="AO225" s="92"/>
      <c r="AP225" s="92"/>
    </row>
    <row r="226" spans="2:42" x14ac:dyDescent="0.25">
      <c r="B226" s="92"/>
      <c r="C226" s="92"/>
      <c r="D226" s="92"/>
      <c r="E226" s="92"/>
      <c r="F226" s="92"/>
      <c r="G226" s="92"/>
      <c r="H226" s="321"/>
      <c r="I226" s="321"/>
      <c r="J226" s="92"/>
      <c r="K226" s="92"/>
      <c r="L226" s="92"/>
      <c r="M226" s="92"/>
      <c r="N226" s="92"/>
      <c r="O226" s="92"/>
      <c r="P226" s="92"/>
      <c r="Q226" s="92"/>
      <c r="R226" s="92"/>
      <c r="S226" s="92"/>
      <c r="T226" s="92"/>
      <c r="U226" s="92"/>
      <c r="V226" s="92"/>
      <c r="W226" s="92"/>
      <c r="X226" s="92"/>
      <c r="Y226" s="92"/>
      <c r="Z226" s="92"/>
      <c r="AA226" s="92"/>
      <c r="AB226" s="92"/>
      <c r="AC226" s="92"/>
      <c r="AD226" s="92"/>
      <c r="AE226" s="92"/>
      <c r="AF226" s="92"/>
      <c r="AG226" s="92"/>
      <c r="AH226" s="92"/>
      <c r="AI226" s="92"/>
      <c r="AJ226" s="92"/>
      <c r="AK226" s="92"/>
      <c r="AL226" s="92"/>
      <c r="AM226" s="92"/>
      <c r="AN226" s="92"/>
      <c r="AO226" s="92"/>
      <c r="AP226" s="92"/>
    </row>
    <row r="227" spans="2:42" x14ac:dyDescent="0.25">
      <c r="B227" s="92"/>
      <c r="C227" s="92"/>
      <c r="D227" s="92"/>
      <c r="E227" s="92"/>
      <c r="F227" s="92"/>
      <c r="G227" s="92"/>
      <c r="H227" s="321"/>
      <c r="I227" s="321"/>
      <c r="J227" s="92"/>
      <c r="K227" s="92"/>
      <c r="L227" s="92"/>
      <c r="M227" s="92"/>
      <c r="N227" s="92"/>
      <c r="O227" s="92"/>
      <c r="P227" s="92"/>
      <c r="Q227" s="92"/>
      <c r="R227" s="92"/>
      <c r="S227" s="92"/>
      <c r="T227" s="92"/>
      <c r="U227" s="92"/>
      <c r="V227" s="92"/>
      <c r="W227" s="92"/>
      <c r="X227" s="92"/>
      <c r="Y227" s="92"/>
      <c r="Z227" s="92"/>
      <c r="AA227" s="92"/>
      <c r="AB227" s="92"/>
      <c r="AC227" s="92"/>
      <c r="AD227" s="92"/>
      <c r="AE227" s="92"/>
      <c r="AF227" s="92"/>
      <c r="AG227" s="92"/>
      <c r="AH227" s="92"/>
      <c r="AI227" s="92"/>
      <c r="AJ227" s="92"/>
      <c r="AK227" s="92"/>
      <c r="AL227" s="92"/>
      <c r="AM227" s="92"/>
      <c r="AN227" s="92"/>
      <c r="AO227" s="92"/>
      <c r="AP227" s="92"/>
    </row>
    <row r="228" spans="2:42" x14ac:dyDescent="0.25">
      <c r="B228" s="92"/>
      <c r="C228" s="92"/>
      <c r="D228" s="92"/>
      <c r="E228" s="92"/>
      <c r="F228" s="92"/>
      <c r="G228" s="92"/>
      <c r="H228" s="321"/>
      <c r="I228" s="321"/>
      <c r="J228" s="92"/>
      <c r="K228" s="92"/>
      <c r="L228" s="92"/>
      <c r="M228" s="92"/>
      <c r="N228" s="92"/>
      <c r="O228" s="92"/>
      <c r="P228" s="92"/>
      <c r="Q228" s="92"/>
      <c r="R228" s="92"/>
      <c r="S228" s="92"/>
      <c r="T228" s="92"/>
      <c r="U228" s="92"/>
      <c r="V228" s="92"/>
      <c r="W228" s="92"/>
      <c r="X228" s="92"/>
      <c r="Y228" s="92"/>
      <c r="Z228" s="92"/>
      <c r="AA228" s="92"/>
      <c r="AB228" s="92"/>
      <c r="AC228" s="92"/>
      <c r="AD228" s="92"/>
      <c r="AE228" s="92"/>
      <c r="AF228" s="92"/>
      <c r="AG228" s="92"/>
      <c r="AH228" s="92"/>
      <c r="AI228" s="92"/>
      <c r="AJ228" s="92"/>
      <c r="AK228" s="92"/>
      <c r="AL228" s="92"/>
      <c r="AM228" s="92"/>
      <c r="AN228" s="92"/>
      <c r="AO228" s="92"/>
      <c r="AP228" s="92"/>
    </row>
    <row r="229" spans="2:42" x14ac:dyDescent="0.25">
      <c r="B229" s="92"/>
      <c r="C229" s="92"/>
      <c r="D229" s="92"/>
      <c r="E229" s="92"/>
      <c r="F229" s="92"/>
      <c r="G229" s="92"/>
      <c r="H229" s="321"/>
      <c r="I229" s="321"/>
      <c r="J229" s="92"/>
      <c r="K229" s="92"/>
      <c r="L229" s="92"/>
      <c r="M229" s="92"/>
      <c r="N229" s="92"/>
      <c r="O229" s="92"/>
      <c r="P229" s="92"/>
      <c r="Q229" s="92"/>
      <c r="R229" s="92"/>
      <c r="S229" s="92"/>
      <c r="T229" s="92"/>
      <c r="U229" s="92"/>
      <c r="V229" s="92"/>
      <c r="W229" s="92"/>
      <c r="X229" s="92"/>
      <c r="Y229" s="92"/>
      <c r="Z229" s="92"/>
      <c r="AA229" s="92"/>
      <c r="AB229" s="92"/>
      <c r="AC229" s="92"/>
      <c r="AD229" s="92"/>
      <c r="AE229" s="92"/>
      <c r="AF229" s="92"/>
      <c r="AG229" s="92"/>
      <c r="AH229" s="92"/>
      <c r="AI229" s="92"/>
      <c r="AJ229" s="92"/>
      <c r="AK229" s="92"/>
      <c r="AL229" s="92"/>
      <c r="AM229" s="92"/>
      <c r="AN229" s="92"/>
      <c r="AO229" s="92"/>
      <c r="AP229" s="92"/>
    </row>
    <row r="230" spans="2:42" x14ac:dyDescent="0.25">
      <c r="B230" s="92"/>
      <c r="C230" s="92"/>
      <c r="D230" s="92"/>
      <c r="E230" s="92"/>
      <c r="F230" s="92"/>
      <c r="G230" s="92"/>
      <c r="H230" s="321"/>
      <c r="I230" s="321"/>
      <c r="J230" s="92"/>
      <c r="K230" s="92"/>
      <c r="L230" s="92"/>
      <c r="M230" s="92"/>
      <c r="N230" s="92"/>
      <c r="O230" s="92"/>
      <c r="P230" s="92"/>
      <c r="Q230" s="92"/>
      <c r="R230" s="92"/>
      <c r="S230" s="92"/>
      <c r="T230" s="92"/>
      <c r="U230" s="92"/>
      <c r="V230" s="92"/>
      <c r="W230" s="92"/>
      <c r="X230" s="92"/>
      <c r="Y230" s="92"/>
      <c r="Z230" s="92"/>
      <c r="AA230" s="92"/>
      <c r="AB230" s="92"/>
      <c r="AC230" s="92"/>
      <c r="AD230" s="92"/>
      <c r="AE230" s="92"/>
      <c r="AF230" s="92"/>
      <c r="AG230" s="92"/>
      <c r="AH230" s="92"/>
      <c r="AI230" s="92"/>
      <c r="AJ230" s="92"/>
      <c r="AK230" s="92"/>
      <c r="AL230" s="92"/>
      <c r="AM230" s="92"/>
      <c r="AN230" s="92"/>
      <c r="AO230" s="92"/>
      <c r="AP230" s="92"/>
    </row>
    <row r="231" spans="2:42" x14ac:dyDescent="0.25">
      <c r="B231" s="92"/>
      <c r="C231" s="92"/>
      <c r="D231" s="92"/>
      <c r="E231" s="92"/>
      <c r="F231" s="92"/>
      <c r="G231" s="92"/>
      <c r="H231" s="321"/>
      <c r="I231" s="321"/>
      <c r="J231" s="92"/>
      <c r="K231" s="92"/>
      <c r="L231" s="92"/>
      <c r="M231" s="92"/>
      <c r="N231" s="92"/>
      <c r="O231" s="92"/>
      <c r="P231" s="92"/>
      <c r="Q231" s="92"/>
      <c r="R231" s="92"/>
      <c r="S231" s="92"/>
      <c r="T231" s="92"/>
      <c r="U231" s="92"/>
      <c r="V231" s="92"/>
      <c r="W231" s="92"/>
      <c r="X231" s="92"/>
      <c r="Y231" s="92"/>
      <c r="Z231" s="92"/>
      <c r="AA231" s="92"/>
      <c r="AB231" s="92"/>
      <c r="AC231" s="92"/>
      <c r="AD231" s="92"/>
      <c r="AE231" s="92"/>
      <c r="AF231" s="92"/>
      <c r="AG231" s="92"/>
      <c r="AH231" s="92"/>
      <c r="AI231" s="92"/>
      <c r="AJ231" s="92"/>
      <c r="AK231" s="92"/>
      <c r="AL231" s="92"/>
      <c r="AM231" s="92"/>
      <c r="AN231" s="92"/>
      <c r="AO231" s="92"/>
      <c r="AP231" s="92"/>
    </row>
    <row r="232" spans="2:42" x14ac:dyDescent="0.25">
      <c r="B232" s="92"/>
      <c r="C232" s="92"/>
      <c r="D232" s="92"/>
      <c r="E232" s="92"/>
      <c r="F232" s="92"/>
      <c r="G232" s="92"/>
      <c r="H232" s="321"/>
      <c r="I232" s="321"/>
      <c r="J232" s="92"/>
      <c r="K232" s="92"/>
      <c r="L232" s="92"/>
      <c r="M232" s="92"/>
      <c r="N232" s="92"/>
      <c r="O232" s="92"/>
      <c r="P232" s="92"/>
      <c r="Q232" s="92"/>
      <c r="R232" s="92"/>
      <c r="S232" s="92"/>
      <c r="T232" s="92"/>
      <c r="U232" s="92"/>
      <c r="V232" s="92"/>
      <c r="W232" s="92"/>
      <c r="X232" s="92"/>
      <c r="Y232" s="92"/>
      <c r="Z232" s="92"/>
      <c r="AA232" s="92"/>
      <c r="AB232" s="92"/>
      <c r="AC232" s="92"/>
      <c r="AD232" s="92"/>
      <c r="AE232" s="92"/>
      <c r="AF232" s="92"/>
      <c r="AG232" s="92"/>
      <c r="AH232" s="92"/>
      <c r="AI232" s="92"/>
      <c r="AJ232" s="92"/>
      <c r="AK232" s="92"/>
      <c r="AL232" s="92"/>
      <c r="AM232" s="92"/>
      <c r="AN232" s="92"/>
      <c r="AO232" s="92"/>
      <c r="AP232" s="92"/>
    </row>
    <row r="233" spans="2:42" x14ac:dyDescent="0.25">
      <c r="B233" s="92"/>
      <c r="C233" s="92"/>
      <c r="D233" s="92"/>
      <c r="E233" s="92"/>
      <c r="F233" s="92"/>
      <c r="G233" s="92"/>
      <c r="H233" s="321"/>
      <c r="I233" s="321"/>
      <c r="J233" s="92"/>
      <c r="K233" s="92"/>
      <c r="L233" s="92"/>
      <c r="M233" s="92"/>
      <c r="N233" s="92"/>
      <c r="O233" s="92"/>
      <c r="P233" s="92"/>
      <c r="Q233" s="92"/>
      <c r="R233" s="92"/>
      <c r="S233" s="92"/>
      <c r="T233" s="92"/>
      <c r="U233" s="92"/>
      <c r="V233" s="92"/>
      <c r="W233" s="92"/>
      <c r="X233" s="92"/>
      <c r="Y233" s="92"/>
      <c r="Z233" s="92"/>
      <c r="AA233" s="92"/>
      <c r="AB233" s="92"/>
      <c r="AC233" s="92"/>
      <c r="AD233" s="92"/>
      <c r="AE233" s="92"/>
      <c r="AF233" s="92"/>
      <c r="AG233" s="92"/>
      <c r="AH233" s="92"/>
      <c r="AI233" s="92"/>
      <c r="AJ233" s="92"/>
      <c r="AK233" s="92"/>
      <c r="AL233" s="92"/>
      <c r="AM233" s="92"/>
      <c r="AN233" s="92"/>
      <c r="AO233" s="92"/>
      <c r="AP233" s="92"/>
    </row>
    <row r="234" spans="2:42" x14ac:dyDescent="0.25">
      <c r="B234" s="92"/>
      <c r="C234" s="92"/>
      <c r="D234" s="92"/>
      <c r="E234" s="92"/>
      <c r="F234" s="92"/>
      <c r="G234" s="92"/>
      <c r="H234" s="321"/>
      <c r="I234" s="321"/>
      <c r="J234" s="92"/>
      <c r="K234" s="92"/>
      <c r="L234" s="92"/>
      <c r="M234" s="92"/>
      <c r="N234" s="92"/>
      <c r="O234" s="92"/>
      <c r="P234" s="92"/>
      <c r="Q234" s="92"/>
      <c r="R234" s="92"/>
      <c r="S234" s="92"/>
      <c r="T234" s="92"/>
      <c r="U234" s="92"/>
      <c r="V234" s="92"/>
      <c r="W234" s="92"/>
      <c r="X234" s="92"/>
      <c r="Y234" s="92"/>
      <c r="Z234" s="92"/>
      <c r="AA234" s="92"/>
      <c r="AB234" s="92"/>
      <c r="AC234" s="92"/>
      <c r="AD234" s="92"/>
      <c r="AE234" s="92"/>
      <c r="AF234" s="92"/>
      <c r="AG234" s="92"/>
      <c r="AH234" s="92"/>
      <c r="AI234" s="92"/>
      <c r="AJ234" s="92"/>
      <c r="AK234" s="92"/>
      <c r="AL234" s="92"/>
      <c r="AM234" s="92"/>
      <c r="AN234" s="92"/>
      <c r="AO234" s="92"/>
      <c r="AP234" s="92"/>
    </row>
    <row r="235" spans="2:42" x14ac:dyDescent="0.25">
      <c r="B235" s="92"/>
      <c r="C235" s="92"/>
      <c r="D235" s="92"/>
      <c r="E235" s="92"/>
      <c r="F235" s="92"/>
      <c r="G235" s="92"/>
      <c r="H235" s="321"/>
      <c r="I235" s="321"/>
      <c r="J235" s="92"/>
      <c r="K235" s="92"/>
      <c r="L235" s="92"/>
      <c r="M235" s="92"/>
      <c r="N235" s="92"/>
      <c r="O235" s="92"/>
      <c r="P235" s="92"/>
      <c r="Q235" s="92"/>
      <c r="R235" s="92"/>
      <c r="S235" s="92"/>
      <c r="T235" s="92"/>
      <c r="U235" s="92"/>
      <c r="V235" s="92"/>
      <c r="W235" s="92"/>
      <c r="X235" s="92"/>
      <c r="Y235" s="92"/>
      <c r="Z235" s="92"/>
      <c r="AA235" s="92"/>
      <c r="AB235" s="92"/>
      <c r="AC235" s="92"/>
      <c r="AD235" s="92"/>
      <c r="AE235" s="92"/>
      <c r="AF235" s="92"/>
      <c r="AG235" s="92"/>
      <c r="AH235" s="92"/>
      <c r="AI235" s="92"/>
      <c r="AJ235" s="92"/>
      <c r="AK235" s="92"/>
      <c r="AL235" s="92"/>
      <c r="AM235" s="92"/>
      <c r="AN235" s="92"/>
      <c r="AO235" s="92"/>
      <c r="AP235" s="92"/>
    </row>
    <row r="236" spans="2:42" x14ac:dyDescent="0.25">
      <c r="B236" s="92"/>
      <c r="C236" s="92"/>
      <c r="D236" s="92"/>
      <c r="E236" s="92"/>
      <c r="F236" s="92"/>
      <c r="G236" s="92"/>
      <c r="H236" s="321"/>
      <c r="I236" s="321"/>
      <c r="J236" s="92"/>
      <c r="K236" s="92"/>
      <c r="L236" s="92"/>
      <c r="M236" s="92"/>
      <c r="N236" s="92"/>
      <c r="O236" s="92"/>
      <c r="P236" s="92"/>
      <c r="Q236" s="92"/>
      <c r="R236" s="92"/>
      <c r="S236" s="92"/>
      <c r="T236" s="92"/>
      <c r="U236" s="92"/>
      <c r="V236" s="92"/>
      <c r="W236" s="92"/>
      <c r="X236" s="92"/>
      <c r="Y236" s="92"/>
      <c r="Z236" s="92"/>
      <c r="AA236" s="92"/>
      <c r="AB236" s="92"/>
      <c r="AC236" s="92"/>
      <c r="AD236" s="92"/>
      <c r="AE236" s="92"/>
      <c r="AF236" s="92"/>
      <c r="AG236" s="92"/>
      <c r="AH236" s="92"/>
      <c r="AI236" s="92"/>
      <c r="AJ236" s="92"/>
      <c r="AK236" s="92"/>
      <c r="AL236" s="92"/>
      <c r="AM236" s="92"/>
      <c r="AN236" s="92"/>
      <c r="AO236" s="92"/>
      <c r="AP236" s="92"/>
    </row>
    <row r="237" spans="2:42" x14ac:dyDescent="0.25">
      <c r="B237" s="92"/>
      <c r="C237" s="92"/>
      <c r="D237" s="92"/>
      <c r="E237" s="92"/>
      <c r="F237" s="92"/>
      <c r="G237" s="92"/>
      <c r="H237" s="321"/>
      <c r="I237" s="321"/>
      <c r="J237" s="92"/>
      <c r="K237" s="92"/>
      <c r="L237" s="92"/>
      <c r="M237" s="92"/>
      <c r="N237" s="92"/>
      <c r="O237" s="92"/>
      <c r="P237" s="92"/>
      <c r="Q237" s="92"/>
      <c r="R237" s="92"/>
      <c r="S237" s="92"/>
      <c r="T237" s="92"/>
      <c r="U237" s="92"/>
      <c r="V237" s="92"/>
      <c r="W237" s="92"/>
      <c r="X237" s="92"/>
      <c r="Y237" s="92"/>
      <c r="Z237" s="92"/>
      <c r="AA237" s="92"/>
      <c r="AB237" s="92"/>
      <c r="AC237" s="92"/>
      <c r="AD237" s="92"/>
      <c r="AE237" s="92"/>
      <c r="AF237" s="92"/>
      <c r="AG237" s="92"/>
      <c r="AH237" s="92"/>
      <c r="AI237" s="92"/>
      <c r="AJ237" s="92"/>
      <c r="AK237" s="92"/>
      <c r="AL237" s="92"/>
      <c r="AM237" s="92"/>
      <c r="AN237" s="92"/>
      <c r="AO237" s="92"/>
      <c r="AP237" s="92"/>
    </row>
    <row r="238" spans="2:42" x14ac:dyDescent="0.25">
      <c r="B238" s="92"/>
      <c r="C238" s="92"/>
      <c r="D238" s="92"/>
      <c r="E238" s="92"/>
      <c r="F238" s="92"/>
      <c r="G238" s="92"/>
      <c r="H238" s="321"/>
      <c r="I238" s="321"/>
      <c r="J238" s="92"/>
      <c r="K238" s="92"/>
      <c r="L238" s="92"/>
      <c r="M238" s="92"/>
      <c r="N238" s="92"/>
      <c r="O238" s="92"/>
      <c r="P238" s="92"/>
      <c r="Q238" s="92"/>
      <c r="R238" s="92"/>
      <c r="S238" s="92"/>
      <c r="T238" s="92"/>
      <c r="U238" s="92"/>
      <c r="V238" s="92"/>
      <c r="W238" s="92"/>
      <c r="X238" s="92"/>
      <c r="Y238" s="92"/>
      <c r="Z238" s="92"/>
      <c r="AA238" s="92"/>
      <c r="AB238" s="92"/>
      <c r="AC238" s="92"/>
      <c r="AD238" s="92"/>
      <c r="AE238" s="92"/>
      <c r="AF238" s="92"/>
      <c r="AG238" s="92"/>
      <c r="AH238" s="92"/>
      <c r="AI238" s="92"/>
      <c r="AJ238" s="92"/>
      <c r="AK238" s="92"/>
      <c r="AL238" s="92"/>
      <c r="AM238" s="92"/>
      <c r="AN238" s="92"/>
      <c r="AO238" s="92"/>
      <c r="AP238" s="92"/>
    </row>
    <row r="239" spans="2:42" x14ac:dyDescent="0.25">
      <c r="B239" s="92"/>
      <c r="C239" s="92"/>
      <c r="D239" s="92"/>
      <c r="E239" s="92"/>
      <c r="F239" s="92"/>
      <c r="G239" s="92"/>
      <c r="H239" s="321"/>
      <c r="I239" s="321"/>
      <c r="J239" s="92"/>
      <c r="K239" s="92"/>
      <c r="L239" s="92"/>
      <c r="M239" s="92"/>
      <c r="N239" s="92"/>
      <c r="O239" s="92"/>
      <c r="P239" s="92"/>
      <c r="Q239" s="92"/>
      <c r="R239" s="92"/>
      <c r="S239" s="92"/>
      <c r="T239" s="92"/>
      <c r="U239" s="92"/>
      <c r="V239" s="92"/>
      <c r="W239" s="92"/>
      <c r="X239" s="92"/>
      <c r="Y239" s="92"/>
      <c r="Z239" s="92"/>
      <c r="AA239" s="92"/>
      <c r="AB239" s="92"/>
      <c r="AC239" s="92"/>
      <c r="AD239" s="92"/>
      <c r="AE239" s="92"/>
      <c r="AF239" s="92"/>
      <c r="AG239" s="92"/>
      <c r="AH239" s="92"/>
      <c r="AI239" s="92"/>
      <c r="AJ239" s="92"/>
      <c r="AK239" s="92"/>
      <c r="AL239" s="92"/>
      <c r="AM239" s="92"/>
      <c r="AN239" s="92"/>
      <c r="AO239" s="92"/>
      <c r="AP239" s="92"/>
    </row>
    <row r="240" spans="2:42" x14ac:dyDescent="0.25">
      <c r="B240" s="92"/>
      <c r="C240" s="92"/>
      <c r="D240" s="92"/>
      <c r="E240" s="92"/>
      <c r="F240" s="92"/>
      <c r="G240" s="92"/>
      <c r="H240" s="321"/>
      <c r="I240" s="321"/>
      <c r="J240" s="92"/>
      <c r="K240" s="92"/>
      <c r="L240" s="92"/>
      <c r="M240" s="92"/>
      <c r="N240" s="92"/>
      <c r="O240" s="92"/>
      <c r="P240" s="92"/>
      <c r="Q240" s="92"/>
      <c r="R240" s="92"/>
      <c r="S240" s="92"/>
      <c r="T240" s="92"/>
      <c r="U240" s="92"/>
      <c r="V240" s="92"/>
      <c r="W240" s="92"/>
      <c r="X240" s="92"/>
      <c r="Y240" s="92"/>
      <c r="Z240" s="92"/>
      <c r="AA240" s="92"/>
      <c r="AB240" s="92"/>
      <c r="AC240" s="92"/>
      <c r="AD240" s="92"/>
      <c r="AE240" s="92"/>
      <c r="AF240" s="92"/>
      <c r="AG240" s="92"/>
      <c r="AH240" s="92"/>
      <c r="AI240" s="92"/>
      <c r="AJ240" s="92"/>
      <c r="AK240" s="92"/>
      <c r="AL240" s="92"/>
      <c r="AM240" s="92"/>
      <c r="AN240" s="92"/>
      <c r="AO240" s="92"/>
      <c r="AP240" s="92"/>
    </row>
    <row r="241" spans="2:42" x14ac:dyDescent="0.25">
      <c r="B241" s="92"/>
      <c r="C241" s="92"/>
      <c r="D241" s="92"/>
      <c r="E241" s="92"/>
      <c r="F241" s="92"/>
      <c r="G241" s="92"/>
      <c r="H241" s="321"/>
      <c r="I241" s="321"/>
      <c r="J241" s="92"/>
      <c r="K241" s="92"/>
      <c r="L241" s="92"/>
      <c r="M241" s="92"/>
      <c r="N241" s="92"/>
      <c r="AJ241" s="92"/>
      <c r="AK241" s="92"/>
      <c r="AL241" s="92"/>
      <c r="AM241" s="92"/>
      <c r="AN241" s="92"/>
      <c r="AO241" s="92"/>
      <c r="AP241" s="92"/>
    </row>
    <row r="242" spans="2:42" x14ac:dyDescent="0.25">
      <c r="B242" s="92"/>
      <c r="C242" s="92"/>
      <c r="D242" s="92"/>
      <c r="E242" s="92"/>
      <c r="F242" s="92"/>
      <c r="G242" s="92"/>
      <c r="H242" s="321"/>
      <c r="I242" s="321"/>
      <c r="J242" s="92"/>
      <c r="K242" s="92"/>
      <c r="L242" s="92"/>
      <c r="AL242" s="92"/>
      <c r="AM242" s="92"/>
      <c r="AN242" s="92"/>
      <c r="AO242" s="92"/>
      <c r="AP242" s="92"/>
    </row>
    <row r="243" spans="2:42" x14ac:dyDescent="0.25">
      <c r="B243" s="92"/>
      <c r="C243" s="92"/>
      <c r="D243" s="92"/>
      <c r="E243" s="92"/>
      <c r="F243" s="92"/>
      <c r="G243" s="92"/>
      <c r="H243" s="321"/>
      <c r="I243" s="321"/>
      <c r="J243" s="92"/>
      <c r="K243" s="92"/>
      <c r="L243" s="92"/>
      <c r="AL243" s="92"/>
      <c r="AM243" s="92"/>
      <c r="AN243" s="92"/>
      <c r="AO243" s="92"/>
      <c r="AP243" s="92"/>
    </row>
    <row r="244" spans="2:42" x14ac:dyDescent="0.25">
      <c r="B244" s="92"/>
      <c r="C244" s="92"/>
      <c r="D244" s="92"/>
      <c r="E244" s="92"/>
      <c r="F244" s="92"/>
      <c r="G244" s="92"/>
      <c r="H244" s="321"/>
      <c r="I244" s="321"/>
      <c r="J244" s="92"/>
      <c r="K244" s="92"/>
      <c r="L244" s="92"/>
      <c r="AL244" s="92"/>
      <c r="AM244" s="92"/>
      <c r="AN244" s="92"/>
      <c r="AO244" s="92"/>
      <c r="AP244" s="92"/>
    </row>
    <row r="245" spans="2:42" x14ac:dyDescent="0.25">
      <c r="B245" s="92"/>
      <c r="C245" s="92"/>
      <c r="D245" s="92"/>
      <c r="E245" s="92"/>
      <c r="F245" s="92"/>
      <c r="G245" s="92"/>
      <c r="H245" s="321"/>
      <c r="I245" s="321"/>
      <c r="J245" s="92"/>
      <c r="K245" s="92"/>
      <c r="L245" s="92"/>
      <c r="AL245" s="92"/>
      <c r="AM245" s="92"/>
      <c r="AN245" s="92"/>
      <c r="AO245" s="92"/>
      <c r="AP245" s="92"/>
    </row>
    <row r="246" spans="2:42" x14ac:dyDescent="0.25">
      <c r="B246" s="92"/>
      <c r="C246" s="92"/>
      <c r="D246" s="92"/>
      <c r="E246" s="92"/>
      <c r="F246" s="92"/>
      <c r="G246" s="92"/>
      <c r="H246" s="321"/>
      <c r="I246" s="321"/>
      <c r="J246" s="92"/>
      <c r="K246" s="92"/>
      <c r="L246" s="92"/>
      <c r="AL246" s="92"/>
      <c r="AM246" s="92"/>
      <c r="AN246" s="92"/>
      <c r="AO246" s="92"/>
      <c r="AP246" s="92"/>
    </row>
    <row r="247" spans="2:42" x14ac:dyDescent="0.25">
      <c r="B247" s="92"/>
      <c r="C247" s="92"/>
      <c r="D247" s="92"/>
      <c r="E247" s="92"/>
      <c r="F247" s="92"/>
      <c r="G247" s="92"/>
      <c r="H247" s="321"/>
      <c r="I247" s="321"/>
      <c r="J247" s="92"/>
      <c r="K247" s="92"/>
      <c r="L247" s="92"/>
      <c r="AL247" s="92"/>
      <c r="AM247" s="92"/>
      <c r="AN247" s="92"/>
      <c r="AO247" s="92"/>
      <c r="AP247" s="92"/>
    </row>
    <row r="248" spans="2:42" x14ac:dyDescent="0.25">
      <c r="B248" s="92"/>
      <c r="C248" s="92"/>
      <c r="D248" s="92"/>
      <c r="E248" s="92"/>
      <c r="F248" s="92"/>
      <c r="G248" s="92"/>
      <c r="H248" s="321"/>
      <c r="I248" s="321"/>
      <c r="J248" s="92"/>
      <c r="K248" s="92"/>
      <c r="L248" s="92"/>
      <c r="AL248" s="92"/>
      <c r="AM248" s="92"/>
      <c r="AN248" s="92"/>
      <c r="AO248" s="92"/>
      <c r="AP248" s="92"/>
    </row>
    <row r="249" spans="2:42" x14ac:dyDescent="0.25">
      <c r="B249" s="92"/>
      <c r="C249" s="92"/>
      <c r="D249" s="92"/>
      <c r="E249" s="92"/>
      <c r="F249" s="92"/>
      <c r="G249" s="92"/>
      <c r="H249" s="321"/>
      <c r="I249" s="321"/>
      <c r="J249" s="92"/>
      <c r="K249" s="92"/>
      <c r="L249" s="92"/>
      <c r="AL249" s="92"/>
      <c r="AM249" s="92"/>
      <c r="AN249" s="92"/>
      <c r="AO249" s="92"/>
      <c r="AP249" s="92"/>
    </row>
    <row r="250" spans="2:42" x14ac:dyDescent="0.25">
      <c r="B250" s="92"/>
      <c r="C250" s="92"/>
      <c r="D250" s="92"/>
      <c r="E250" s="92"/>
      <c r="F250" s="92"/>
      <c r="G250" s="92"/>
      <c r="H250" s="321"/>
      <c r="I250" s="321"/>
      <c r="J250" s="92"/>
      <c r="K250" s="92"/>
      <c r="L250" s="92"/>
      <c r="AL250" s="92"/>
      <c r="AM250" s="92"/>
      <c r="AN250" s="92"/>
      <c r="AO250" s="92"/>
      <c r="AP250" s="92"/>
    </row>
    <row r="251" spans="2:42" x14ac:dyDescent="0.25">
      <c r="B251" s="92"/>
      <c r="C251" s="92"/>
      <c r="D251" s="92"/>
      <c r="E251" s="92"/>
      <c r="F251" s="92"/>
      <c r="G251" s="92"/>
      <c r="H251" s="321"/>
      <c r="I251" s="321"/>
      <c r="J251" s="92"/>
      <c r="K251" s="92"/>
      <c r="L251" s="92"/>
      <c r="AL251" s="92"/>
      <c r="AM251" s="92"/>
      <c r="AN251" s="92"/>
      <c r="AO251" s="92"/>
      <c r="AP251" s="92"/>
    </row>
    <row r="252" spans="2:42" x14ac:dyDescent="0.25">
      <c r="B252" s="92"/>
      <c r="C252" s="92"/>
      <c r="D252" s="92"/>
      <c r="E252" s="92"/>
      <c r="F252" s="92"/>
      <c r="G252" s="92"/>
      <c r="H252" s="321"/>
      <c r="I252" s="321"/>
      <c r="J252" s="92"/>
      <c r="K252" s="92"/>
      <c r="L252" s="92"/>
      <c r="AL252" s="92"/>
      <c r="AM252" s="92"/>
      <c r="AN252" s="92"/>
      <c r="AO252" s="92"/>
      <c r="AP252" s="92"/>
    </row>
    <row r="253" spans="2:42" x14ac:dyDescent="0.25">
      <c r="B253" s="92"/>
      <c r="C253" s="92"/>
      <c r="D253" s="92"/>
      <c r="E253" s="92"/>
      <c r="F253" s="92"/>
      <c r="G253" s="92"/>
      <c r="H253" s="321"/>
      <c r="I253" s="321"/>
      <c r="J253" s="92"/>
      <c r="K253" s="92"/>
      <c r="L253" s="92"/>
      <c r="AL253" s="92"/>
      <c r="AM253" s="92"/>
      <c r="AN253" s="92"/>
      <c r="AO253" s="92"/>
      <c r="AP253" s="92"/>
    </row>
    <row r="254" spans="2:42" x14ac:dyDescent="0.25">
      <c r="AL254" s="92"/>
    </row>
    <row r="255" spans="2:42" x14ac:dyDescent="0.25">
      <c r="AL255" s="92"/>
    </row>
  </sheetData>
  <sheetProtection algorithmName="SHA-512" hashValue="C81/96zlp5f0vNPlsUETgGtkUycVvzf4LIqigqO/QVMYwgF4pVnoVEqnhv9xN6AT41WEvfAAMytjeEvbkTSHSg==" saltValue="s1apQUeucQlISBdAlzp6XA==" spinCount="100000" sheet="1" objects="1" scenarios="1"/>
  <protectedRanges>
    <protectedRange algorithmName="SHA-512" hashValue="Wky7XdEYFpDL/lBGnsIX2CVETB+9Fob3J0wb8UibyKWseNc5fkmdxqm8uV2x+4OZ7KP15UWpOTbfDZ478OXFOQ==" saltValue="U3lGLaK58GBCxi+Z1xclqg==" spinCount="100000" sqref="A1 AL1:BB115 B70:L115 B2:B61 D1:L67 C1:C60 B62:C67" name="Range1"/>
    <protectedRange algorithmName="SHA-512" hashValue="Wky7XdEYFpDL/lBGnsIX2CVETB+9Fob3J0wb8UibyKWseNc5fkmdxqm8uV2x+4OZ7KP15UWpOTbfDZ478OXFOQ==" saltValue="U3lGLaK58GBCxi+Z1xclqg==" spinCount="100000" sqref="AG20:AH20 O30 AE11:AE30 AB11:AD41 AG22:AG23 AF24:AG24 AJ20:AJ22 Y77 Q10:Q28 Y69:Z76 O29:P29 V60 V62:V68 P10:P25 N7:N60 X58:Y66 X67:AD68 AA88:AI107 Y78:Z87 Z93:Z107 Y91:Y107 Z91 O62:Q68 P61:Q61 M1:M107 W8 AA62:AC66 AA69:AC87 AH75 O10:O28 W10 O69:S107 N62:N107 Z57:Z66 X57 AB57:AC61 AG78:AH87 AD57:AD66 AH25:AH41 AK1:AK107 Q30:Q41 Q57:Q60 R57:U68 P27:P28 AB42:AH56 AA11:AA60 V57:V58 Q42:Z56 W57:W68 AI22:AI87 AJ24:AJ107 O31:P60 AA1:AA2 X8:AG10 AF34:AF41 AF25:AF30 AG26:AG30 T72:W107 X71:X107 T69:X70 AD69:AD74 AE74 AF57:AH74 AD76:AF87 AG76:AH76 AB1:AJ5 AG11:AG18 AA4 U37 R1:Z4 W11:Z41 AF11:AF23 N1:P4 Q2 Q4 R10:T41 U10:V36 U38:V41 AG32:AG41 AF32 AE33:AE41 AH6:AJ19 AB6:AG7 O5:O6 AE57:AE72" name="Range1_2"/>
    <protectedRange algorithmName="SHA-512" hashValue="Wky7XdEYFpDL/lBGnsIX2CVETB+9Fob3J0wb8UibyKWseNc5fkmdxqm8uV2x+4OZ7KP15UWpOTbfDZ478OXFOQ==" saltValue="U3lGLaK58GBCxi+Z1xclqg==" spinCount="100000" sqref="B68:L69" name="Range1_3"/>
  </protectedRanges>
  <customSheetViews>
    <customSheetView guid="{E7B63CCF-7FBC-401C-9C4B-EF755A7DC399}" scale="17" showGridLines="0" fitToPage="1">
      <selection activeCell="H19" sqref="H19:I19"/>
      <pageMargins left="0" right="0" top="0" bottom="0" header="0" footer="0"/>
      <pageSetup scale="53" orientation="landscape" horizontalDpi="4294967293" verticalDpi="4294967293" r:id="rId1"/>
    </customSheetView>
  </customSheetViews>
  <mergeCells count="1364">
    <mergeCell ref="O6:AJ6"/>
    <mergeCell ref="B61:I63"/>
    <mergeCell ref="O5:AJ5"/>
    <mergeCell ref="Y82:Z82"/>
    <mergeCell ref="Y83:Z83"/>
    <mergeCell ref="AA83:AB83"/>
    <mergeCell ref="X88:Z88"/>
    <mergeCell ref="AC88:AJ88"/>
    <mergeCell ref="X89:Z89"/>
    <mergeCell ref="X90:Z90"/>
    <mergeCell ref="Y91:Z91"/>
    <mergeCell ref="X92:Z92"/>
    <mergeCell ref="M12:AK13"/>
    <mergeCell ref="M85:AK86"/>
    <mergeCell ref="W8:AG10"/>
    <mergeCell ref="Z51:AB51"/>
    <mergeCell ref="Z53:AB53"/>
    <mergeCell ref="X57:Z57"/>
    <mergeCell ref="AB57:AC57"/>
    <mergeCell ref="AB58:AC58"/>
    <mergeCell ref="Q59:V59"/>
    <mergeCell ref="AB59:AC59"/>
    <mergeCell ref="AB60:AC60"/>
    <mergeCell ref="R61:V61"/>
    <mergeCell ref="S63:V63"/>
    <mergeCell ref="AB63:AC63"/>
    <mergeCell ref="S65:V65"/>
    <mergeCell ref="AB65:AC65"/>
    <mergeCell ref="AB67:AC67"/>
    <mergeCell ref="Y77:Z77"/>
    <mergeCell ref="Y79:Z79"/>
    <mergeCell ref="AG22:AG23"/>
    <mergeCell ref="P25:P26"/>
    <mergeCell ref="AF25:AH25"/>
    <mergeCell ref="P29:Q29"/>
    <mergeCell ref="O30:Q31"/>
    <mergeCell ref="P33:P34"/>
    <mergeCell ref="Q33:Q34"/>
    <mergeCell ref="W38:Z39"/>
    <mergeCell ref="Z43:AB43"/>
    <mergeCell ref="Z45:AB45"/>
    <mergeCell ref="Z47:AB47"/>
    <mergeCell ref="Z49:AB49"/>
    <mergeCell ref="AU17:AW17"/>
    <mergeCell ref="AU15:AW15"/>
    <mergeCell ref="CL47:CM47"/>
    <mergeCell ref="CL100:CM100"/>
    <mergeCell ref="CK102:CM102"/>
    <mergeCell ref="CL156:CM156"/>
    <mergeCell ref="BD59:BD60"/>
    <mergeCell ref="BI29:BI30"/>
    <mergeCell ref="BI31:BI32"/>
    <mergeCell ref="BH33:BH34"/>
    <mergeCell ref="BG31:BG32"/>
    <mergeCell ref="BE33:BE34"/>
    <mergeCell ref="BF51:BF52"/>
    <mergeCell ref="BF69:BF70"/>
    <mergeCell ref="BG69:BG70"/>
    <mergeCell ref="BH69:BH70"/>
    <mergeCell ref="BI69:BI70"/>
    <mergeCell ref="BC65:BC66"/>
    <mergeCell ref="BF55:BF56"/>
    <mergeCell ref="BG55:BG56"/>
    <mergeCell ref="BH55:BH56"/>
    <mergeCell ref="CL196:CM196"/>
    <mergeCell ref="BD29:BD30"/>
    <mergeCell ref="BE71:BE72"/>
    <mergeCell ref="BF71:BF72"/>
    <mergeCell ref="BG71:BG72"/>
    <mergeCell ref="BH71:BH72"/>
    <mergeCell ref="BI71:BI72"/>
    <mergeCell ref="CJ179:CJ182"/>
    <mergeCell ref="CK170:CN170"/>
    <mergeCell ref="BF33:BF34"/>
    <mergeCell ref="BG33:BG34"/>
    <mergeCell ref="BI39:BI40"/>
    <mergeCell ref="BJ39:BJ40"/>
    <mergeCell ref="BJ41:BJ42"/>
    <mergeCell ref="BK41:BK42"/>
    <mergeCell ref="BJ35:BJ36"/>
    <mergeCell ref="Y81:Z81"/>
    <mergeCell ref="BK73:BK74"/>
    <mergeCell ref="BL73:BL74"/>
    <mergeCell ref="BM73:BM74"/>
    <mergeCell ref="BN73:BN74"/>
    <mergeCell ref="BO73:BO74"/>
    <mergeCell ref="BP73:BP74"/>
    <mergeCell ref="BK61:BK62"/>
    <mergeCell ref="BL61:BL62"/>
    <mergeCell ref="BM61:BM62"/>
    <mergeCell ref="BC71:BC72"/>
    <mergeCell ref="BE29:BE30"/>
    <mergeCell ref="BF29:BF30"/>
    <mergeCell ref="BG29:BG30"/>
    <mergeCell ref="BH29:BH30"/>
    <mergeCell ref="BD61:BD62"/>
    <mergeCell ref="CZ196:CZ197"/>
    <mergeCell ref="CP197:CQ197"/>
    <mergeCell ref="CZ175:CZ176"/>
    <mergeCell ref="CP176:CP177"/>
    <mergeCell ref="CQ176:CQ177"/>
    <mergeCell ref="CR176:CR177"/>
    <mergeCell ref="CS176:CT177"/>
    <mergeCell ref="CU176:CV177"/>
    <mergeCell ref="CM135:CM137"/>
    <mergeCell ref="CB89:CB90"/>
    <mergeCell ref="CC89:CC90"/>
    <mergeCell ref="BQ71:BQ72"/>
    <mergeCell ref="CP132:CX133"/>
    <mergeCell ref="CS180:CS182"/>
    <mergeCell ref="CT180:CU182"/>
    <mergeCell ref="CV180:CX184"/>
    <mergeCell ref="CJ183:CJ186"/>
    <mergeCell ref="CK183:CK185"/>
    <mergeCell ref="CL183:CL185"/>
    <mergeCell ref="CM183:CM185"/>
    <mergeCell ref="CN183:CN185"/>
    <mergeCell ref="CP183:CP184"/>
    <mergeCell ref="CR186:CR188"/>
    <mergeCell ref="CS186:CS188"/>
    <mergeCell ref="CT186:CU188"/>
    <mergeCell ref="CV186:CV188"/>
    <mergeCell ref="CQ183:CR184"/>
    <mergeCell ref="CS183:CS184"/>
    <mergeCell ref="CT183:CU184"/>
    <mergeCell ref="CP185:CX185"/>
    <mergeCell ref="CP186:CP188"/>
    <mergeCell ref="CQ186:CQ188"/>
    <mergeCell ref="CW186:CW197"/>
    <mergeCell ref="CX186:CZ187"/>
    <mergeCell ref="CX188:CY189"/>
    <mergeCell ref="CZ188:CZ189"/>
    <mergeCell ref="CJ201:CL201"/>
    <mergeCell ref="CJ202:CL202"/>
    <mergeCell ref="CJ203:CL203"/>
    <mergeCell ref="CJ205:CL205"/>
    <mergeCell ref="CJ206:CL206"/>
    <mergeCell ref="CJ207:CL207"/>
    <mergeCell ref="CJ208:CL208"/>
    <mergeCell ref="CR189:CR190"/>
    <mergeCell ref="CS189:CS190"/>
    <mergeCell ref="CT189:CU190"/>
    <mergeCell ref="CV189:CV190"/>
    <mergeCell ref="CX190:CY191"/>
    <mergeCell ref="CZ190:CZ191"/>
    <mergeCell ref="CP191:CQ195"/>
    <mergeCell ref="CR191:CR193"/>
    <mergeCell ref="CS191:CT193"/>
    <mergeCell ref="CU191:CV193"/>
    <mergeCell ref="CX192:CZ193"/>
    <mergeCell ref="CR194:CR195"/>
    <mergeCell ref="CS194:CT195"/>
    <mergeCell ref="CU194:CV195"/>
    <mergeCell ref="CX194:CY195"/>
    <mergeCell ref="CP198:CQ198"/>
    <mergeCell ref="CJ200:CL200"/>
    <mergeCell ref="CZ194:CZ195"/>
    <mergeCell ref="CJ195:CM195"/>
    <mergeCell ref="CJ189:CM189"/>
    <mergeCell ref="CP189:CP190"/>
    <mergeCell ref="CQ189:CQ190"/>
    <mergeCell ref="CX196:CY197"/>
    <mergeCell ref="CP170:CX171"/>
    <mergeCell ref="CY170:CZ172"/>
    <mergeCell ref="CJ171:CJ174"/>
    <mergeCell ref="CK171:CK173"/>
    <mergeCell ref="CL171:CL173"/>
    <mergeCell ref="CM171:CM173"/>
    <mergeCell ref="CN171:CN173"/>
    <mergeCell ref="CP172:CX173"/>
    <mergeCell ref="CY173:CY174"/>
    <mergeCell ref="CZ173:CZ174"/>
    <mergeCell ref="CP174:CP175"/>
    <mergeCell ref="CQ174:CQ175"/>
    <mergeCell ref="CR174:CR175"/>
    <mergeCell ref="CS174:CT175"/>
    <mergeCell ref="CU174:CV175"/>
    <mergeCell ref="CW174:CX175"/>
    <mergeCell ref="CJ175:CJ178"/>
    <mergeCell ref="CK175:CK177"/>
    <mergeCell ref="CL175:CL177"/>
    <mergeCell ref="CM175:CM177"/>
    <mergeCell ref="CN175:CN177"/>
    <mergeCell ref="CY175:CY176"/>
    <mergeCell ref="CK179:CK181"/>
    <mergeCell ref="CL179:CL181"/>
    <mergeCell ref="CM179:CM181"/>
    <mergeCell ref="CN179:CN181"/>
    <mergeCell ref="CP180:CP182"/>
    <mergeCell ref="CQ180:CR182"/>
    <mergeCell ref="CW176:CX177"/>
    <mergeCell ref="CP178:CX179"/>
    <mergeCell ref="B75:K75"/>
    <mergeCell ref="H57:I59"/>
    <mergeCell ref="BD71:BD72"/>
    <mergeCell ref="BC73:BC74"/>
    <mergeCell ref="BD75:BD76"/>
    <mergeCell ref="BE75:BE76"/>
    <mergeCell ref="BF75:BF76"/>
    <mergeCell ref="BG75:BG76"/>
    <mergeCell ref="BH75:BH76"/>
    <mergeCell ref="BI75:BI76"/>
    <mergeCell ref="BD69:BD70"/>
    <mergeCell ref="BE65:BE66"/>
    <mergeCell ref="BF65:BF66"/>
    <mergeCell ref="BG65:BG66"/>
    <mergeCell ref="BH65:BH66"/>
    <mergeCell ref="BI65:BI66"/>
    <mergeCell ref="CP158:CQ158"/>
    <mergeCell ref="CK139:CK141"/>
    <mergeCell ref="CL135:CL137"/>
    <mergeCell ref="CP94:CP96"/>
    <mergeCell ref="BD65:BD66"/>
    <mergeCell ref="BD63:BD64"/>
    <mergeCell ref="BE63:BE64"/>
    <mergeCell ref="BF63:BF64"/>
    <mergeCell ref="BG63:BG64"/>
    <mergeCell ref="BI63:BI64"/>
    <mergeCell ref="BO67:BO68"/>
    <mergeCell ref="BQ65:BQ66"/>
    <mergeCell ref="BQ67:BQ68"/>
    <mergeCell ref="BQ69:BQ70"/>
    <mergeCell ref="BQ59:BQ60"/>
    <mergeCell ref="BQ57:BQ58"/>
    <mergeCell ref="BC41:BC42"/>
    <mergeCell ref="BC43:BC44"/>
    <mergeCell ref="BE67:BE68"/>
    <mergeCell ref="BF67:BF68"/>
    <mergeCell ref="BG67:BG68"/>
    <mergeCell ref="BI57:BI58"/>
    <mergeCell ref="BG43:BG44"/>
    <mergeCell ref="BH43:BH44"/>
    <mergeCell ref="BI43:BI44"/>
    <mergeCell ref="BC67:BC68"/>
    <mergeCell ref="BE53:BE54"/>
    <mergeCell ref="BF53:BF54"/>
    <mergeCell ref="BM45:BM46"/>
    <mergeCell ref="BN45:BN46"/>
    <mergeCell ref="BN65:BN66"/>
    <mergeCell ref="BN57:BN58"/>
    <mergeCell ref="BD47:BD48"/>
    <mergeCell ref="BE47:BE48"/>
    <mergeCell ref="BF47:BF48"/>
    <mergeCell ref="BH57:BH58"/>
    <mergeCell ref="BI45:BI46"/>
    <mergeCell ref="BC49:BC50"/>
    <mergeCell ref="BC51:BC52"/>
    <mergeCell ref="BC53:BC54"/>
    <mergeCell ref="BC55:BC56"/>
    <mergeCell ref="BC57:BC58"/>
    <mergeCell ref="BE51:BE52"/>
    <mergeCell ref="BJ45:BJ46"/>
    <mergeCell ref="BF45:BF46"/>
    <mergeCell ref="BK65:BK66"/>
    <mergeCell ref="BL65:BL66"/>
    <mergeCell ref="BM65:BM66"/>
    <mergeCell ref="BH51:BH52"/>
    <mergeCell ref="BI51:BI52"/>
    <mergeCell ref="BD51:BD52"/>
    <mergeCell ref="BD53:BD54"/>
    <mergeCell ref="BG53:BG54"/>
    <mergeCell ref="BD45:BD46"/>
    <mergeCell ref="BE45:BE46"/>
    <mergeCell ref="BP17:BP18"/>
    <mergeCell ref="BD23:BD24"/>
    <mergeCell ref="BE23:BE24"/>
    <mergeCell ref="BF23:BF24"/>
    <mergeCell ref="BG23:BG24"/>
    <mergeCell ref="BH23:BH24"/>
    <mergeCell ref="BI23:BI24"/>
    <mergeCell ref="BJ23:BJ24"/>
    <mergeCell ref="BK23:BK24"/>
    <mergeCell ref="BL23:BL24"/>
    <mergeCell ref="BM23:BM24"/>
    <mergeCell ref="BN23:BN24"/>
    <mergeCell ref="BO23:BO24"/>
    <mergeCell ref="BP23:BP24"/>
    <mergeCell ref="BD21:BD22"/>
    <mergeCell ref="BE21:BE22"/>
    <mergeCell ref="BF21:BF22"/>
    <mergeCell ref="BM19:BM20"/>
    <mergeCell ref="BN19:BN20"/>
    <mergeCell ref="BD25:BD26"/>
    <mergeCell ref="BE25:BE26"/>
    <mergeCell ref="BD27:BD28"/>
    <mergeCell ref="BE27:BE28"/>
    <mergeCell ref="BF35:BF36"/>
    <mergeCell ref="BM47:BM48"/>
    <mergeCell ref="BH7:BH8"/>
    <mergeCell ref="BJ17:BJ18"/>
    <mergeCell ref="BK17:BK18"/>
    <mergeCell ref="BL17:BL18"/>
    <mergeCell ref="BM43:BM44"/>
    <mergeCell ref="BN43:BN44"/>
    <mergeCell ref="BJ37:BJ38"/>
    <mergeCell ref="BG41:BG42"/>
    <mergeCell ref="BE37:BE38"/>
    <mergeCell ref="BF37:BF38"/>
    <mergeCell ref="BD15:BD16"/>
    <mergeCell ref="BD13:BD14"/>
    <mergeCell ref="BI13:BI14"/>
    <mergeCell ref="BE9:BE10"/>
    <mergeCell ref="BF9:BF10"/>
    <mergeCell ref="BD19:BD20"/>
    <mergeCell ref="BD17:BD18"/>
    <mergeCell ref="BK21:BK22"/>
    <mergeCell ref="BE19:BE20"/>
    <mergeCell ref="BG25:BG26"/>
    <mergeCell ref="BH25:BH26"/>
    <mergeCell ref="BL35:BL36"/>
    <mergeCell ref="BI35:BI36"/>
    <mergeCell ref="BJ11:BJ12"/>
    <mergeCell ref="BK11:BK12"/>
    <mergeCell ref="BL11:BL12"/>
    <mergeCell ref="BM11:BM12"/>
    <mergeCell ref="BN11:BN12"/>
    <mergeCell ref="BM17:BM18"/>
    <mergeCell ref="BK9:BK10"/>
    <mergeCell ref="BL9:BL10"/>
    <mergeCell ref="BI9:BI10"/>
    <mergeCell ref="BG45:BG46"/>
    <mergeCell ref="BK45:BK46"/>
    <mergeCell ref="BG11:BG12"/>
    <mergeCell ref="BE15:BE16"/>
    <mergeCell ref="BF41:BF42"/>
    <mergeCell ref="BH41:BH42"/>
    <mergeCell ref="BI41:BI42"/>
    <mergeCell ref="BF15:BF16"/>
    <mergeCell ref="BG15:BG16"/>
    <mergeCell ref="BH15:BH16"/>
    <mergeCell ref="BI15:BI16"/>
    <mergeCell ref="BJ15:BJ16"/>
    <mergeCell ref="BK15:BK16"/>
    <mergeCell ref="BE13:BE14"/>
    <mergeCell ref="BF13:BF14"/>
    <mergeCell ref="BH17:BH18"/>
    <mergeCell ref="BI17:BI18"/>
    <mergeCell ref="BG21:BG22"/>
    <mergeCell ref="BH21:BH22"/>
    <mergeCell ref="BI21:BI22"/>
    <mergeCell ref="BJ21:BJ22"/>
    <mergeCell ref="BG13:BG14"/>
    <mergeCell ref="BH13:BH14"/>
    <mergeCell ref="BJ33:BJ34"/>
    <mergeCell ref="BI25:BI26"/>
    <mergeCell ref="BJ25:BJ26"/>
    <mergeCell ref="BK25:BK26"/>
    <mergeCell ref="BK29:BK30"/>
    <mergeCell ref="BJ31:BJ32"/>
    <mergeCell ref="BK31:BK32"/>
    <mergeCell ref="BJ27:BJ28"/>
    <mergeCell ref="BF25:BF26"/>
    <mergeCell ref="BN37:BN38"/>
    <mergeCell ref="BR7:BR8"/>
    <mergeCell ref="BQ7:BQ8"/>
    <mergeCell ref="BQ9:BQ10"/>
    <mergeCell ref="BR9:BR10"/>
    <mergeCell ref="BL41:BL42"/>
    <mergeCell ref="BO37:BO38"/>
    <mergeCell ref="BN13:BN14"/>
    <mergeCell ref="BL15:BL16"/>
    <mergeCell ref="BM15:BM16"/>
    <mergeCell ref="BM33:BM34"/>
    <mergeCell ref="BL25:BL26"/>
    <mergeCell ref="BM25:BM26"/>
    <mergeCell ref="BM21:BM22"/>
    <mergeCell ref="BM31:BM32"/>
    <mergeCell ref="BL29:BL30"/>
    <mergeCell ref="BL27:BL28"/>
    <mergeCell ref="BM27:BM28"/>
    <mergeCell ref="BN39:BN40"/>
    <mergeCell ref="BM41:BM42"/>
    <mergeCell ref="BO19:BO20"/>
    <mergeCell ref="BN41:BN42"/>
    <mergeCell ref="BR17:BR18"/>
    <mergeCell ref="BR19:BR20"/>
    <mergeCell ref="BR21:BR22"/>
    <mergeCell ref="BR23:BR24"/>
    <mergeCell ref="BR25:BR26"/>
    <mergeCell ref="BR27:BR28"/>
    <mergeCell ref="BR29:BR30"/>
    <mergeCell ref="BM35:BM36"/>
    <mergeCell ref="BN35:BN36"/>
    <mergeCell ref="BP11:BP12"/>
    <mergeCell ref="BG47:BG48"/>
    <mergeCell ref="BO45:BO46"/>
    <mergeCell ref="BP45:BP46"/>
    <mergeCell ref="BD31:BD32"/>
    <mergeCell ref="BE31:BE32"/>
    <mergeCell ref="BF31:BF32"/>
    <mergeCell ref="BN33:BN34"/>
    <mergeCell ref="BO33:BO34"/>
    <mergeCell ref="BP33:BP34"/>
    <mergeCell ref="BI33:BI34"/>
    <mergeCell ref="BH47:BH48"/>
    <mergeCell ref="BH45:BH46"/>
    <mergeCell ref="BK43:BK44"/>
    <mergeCell ref="BL43:BL44"/>
    <mergeCell ref="BD33:BD34"/>
    <mergeCell ref="BF43:BF44"/>
    <mergeCell ref="BE35:BE36"/>
    <mergeCell ref="BO35:BO36"/>
    <mergeCell ref="BP35:BP36"/>
    <mergeCell ref="BP47:BP48"/>
    <mergeCell ref="BH31:BH32"/>
    <mergeCell ref="BD37:BD38"/>
    <mergeCell ref="BK47:BK48"/>
    <mergeCell ref="BL47:BL48"/>
    <mergeCell ref="BL45:BL46"/>
    <mergeCell ref="BI47:BI48"/>
    <mergeCell ref="BD35:BD36"/>
    <mergeCell ref="BG37:BG38"/>
    <mergeCell ref="BH37:BH38"/>
    <mergeCell ref="BK35:BK36"/>
    <mergeCell ref="BI37:BI38"/>
    <mergeCell ref="BN47:BN48"/>
    <mergeCell ref="CX108:CZ111"/>
    <mergeCell ref="CX46:CY47"/>
    <mergeCell ref="CG58:CG60"/>
    <mergeCell ref="CY130:CZ132"/>
    <mergeCell ref="CZ42:CZ45"/>
    <mergeCell ref="CZ78:CZ79"/>
    <mergeCell ref="CY80:CY81"/>
    <mergeCell ref="CY133:CY134"/>
    <mergeCell ref="CX102:CY103"/>
    <mergeCell ref="CS97:CT99"/>
    <mergeCell ref="CR97:CR99"/>
    <mergeCell ref="CZ102:CZ103"/>
    <mergeCell ref="CW116:CX116"/>
    <mergeCell ref="CZ104:CZ105"/>
    <mergeCell ref="CZ106:CZ107"/>
    <mergeCell ref="CW91:CW111"/>
    <mergeCell ref="CX91:CZ92"/>
    <mergeCell ref="CX93:CY94"/>
    <mergeCell ref="CZ93:CZ94"/>
    <mergeCell ref="CX96:CY97"/>
    <mergeCell ref="CZ96:CZ97"/>
    <mergeCell ref="CX100:CY101"/>
    <mergeCell ref="CQ105:CQ106"/>
    <mergeCell ref="CS107:CS109"/>
    <mergeCell ref="CQ91:CQ93"/>
    <mergeCell ref="CQ94:CQ96"/>
    <mergeCell ref="CR91:CR93"/>
    <mergeCell ref="CU97:CV99"/>
    <mergeCell ref="CS100:CT101"/>
    <mergeCell ref="CU100:CV101"/>
    <mergeCell ref="CR107:CR109"/>
    <mergeCell ref="CJ61:CL61"/>
    <mergeCell ref="BC23:BC24"/>
    <mergeCell ref="BC25:BC26"/>
    <mergeCell ref="BC27:BC28"/>
    <mergeCell ref="BC29:BC30"/>
    <mergeCell ref="BC31:BC32"/>
    <mergeCell ref="BC33:BC34"/>
    <mergeCell ref="BC35:BC36"/>
    <mergeCell ref="BC37:BC38"/>
    <mergeCell ref="BC39:BC40"/>
    <mergeCell ref="CN77:CN78"/>
    <mergeCell ref="BC63:BC64"/>
    <mergeCell ref="BC59:BC60"/>
    <mergeCell ref="CP130:CX131"/>
    <mergeCell ref="CP102:CP104"/>
    <mergeCell ref="CT91:CU93"/>
    <mergeCell ref="BP57:BP58"/>
    <mergeCell ref="BP53:BP54"/>
    <mergeCell ref="BP59:BP60"/>
    <mergeCell ref="BK37:BK38"/>
    <mergeCell ref="BL37:BL38"/>
    <mergeCell ref="BG49:BG50"/>
    <mergeCell ref="BH49:BH50"/>
    <mergeCell ref="BI49:BI50"/>
    <mergeCell ref="BJ49:BJ50"/>
    <mergeCell ref="BM57:BM58"/>
    <mergeCell ref="CR54:CR55"/>
    <mergeCell ref="CR79:CR80"/>
    <mergeCell ref="CS79:CT80"/>
    <mergeCell ref="CU79:CV80"/>
    <mergeCell ref="CP79:CP80"/>
    <mergeCell ref="CS81:CT82"/>
    <mergeCell ref="BH35:BH36"/>
    <mergeCell ref="CN139:CN141"/>
    <mergeCell ref="CN143:CN145"/>
    <mergeCell ref="CP75:CX76"/>
    <mergeCell ref="CT140:CU142"/>
    <mergeCell ref="CV140:CX144"/>
    <mergeCell ref="CP143:CP144"/>
    <mergeCell ref="CQ143:CR144"/>
    <mergeCell ref="CS136:CT137"/>
    <mergeCell ref="CU136:CV137"/>
    <mergeCell ref="CW136:CX137"/>
    <mergeCell ref="CV54:CV55"/>
    <mergeCell ref="CP24:CP27"/>
    <mergeCell ref="CQ24:CQ27"/>
    <mergeCell ref="CW115:CX115"/>
    <mergeCell ref="CP6:CX7"/>
    <mergeCell ref="CY4:CZ6"/>
    <mergeCell ref="CP14:CW15"/>
    <mergeCell ref="CZ133:CZ134"/>
    <mergeCell ref="CP134:CP135"/>
    <mergeCell ref="CQ134:CQ135"/>
    <mergeCell ref="CR134:CR135"/>
    <mergeCell ref="CS134:CT135"/>
    <mergeCell ref="CU134:CV135"/>
    <mergeCell ref="CW134:CX135"/>
    <mergeCell ref="CY135:CY136"/>
    <mergeCell ref="CZ135:CZ136"/>
    <mergeCell ref="CR100:CR101"/>
    <mergeCell ref="CQ136:CQ137"/>
    <mergeCell ref="CP136:CP137"/>
    <mergeCell ref="CS140:CS142"/>
    <mergeCell ref="CR136:CR137"/>
    <mergeCell ref="CW119:CX119"/>
    <mergeCell ref="CV149:CV150"/>
    <mergeCell ref="CX150:CY151"/>
    <mergeCell ref="CZ150:CZ151"/>
    <mergeCell ref="CP151:CQ155"/>
    <mergeCell ref="CR151:CR153"/>
    <mergeCell ref="CS151:CT153"/>
    <mergeCell ref="CX154:CY155"/>
    <mergeCell ref="CU151:CV153"/>
    <mergeCell ref="CX152:CZ153"/>
    <mergeCell ref="CW146:CW157"/>
    <mergeCell ref="CZ154:CZ155"/>
    <mergeCell ref="CX156:CY157"/>
    <mergeCell ref="CZ156:CZ157"/>
    <mergeCell ref="CP157:CQ157"/>
    <mergeCell ref="CX146:CZ147"/>
    <mergeCell ref="CX148:CY149"/>
    <mergeCell ref="CZ148:CZ149"/>
    <mergeCell ref="CP149:CP150"/>
    <mergeCell ref="CP146:CP148"/>
    <mergeCell ref="CQ146:CQ148"/>
    <mergeCell ref="CR146:CR148"/>
    <mergeCell ref="CS146:CS148"/>
    <mergeCell ref="BQ35:BQ36"/>
    <mergeCell ref="BP19:BP20"/>
    <mergeCell ref="BP49:BP50"/>
    <mergeCell ref="BO49:BO50"/>
    <mergeCell ref="BQ25:BQ26"/>
    <mergeCell ref="BQ27:BQ28"/>
    <mergeCell ref="BQ29:BQ30"/>
    <mergeCell ref="BV43:BV49"/>
    <mergeCell ref="BW43:BY44"/>
    <mergeCell ref="BZ43:CC43"/>
    <mergeCell ref="CD43:CF43"/>
    <mergeCell ref="BW45:BX45"/>
    <mergeCell ref="BZ45:CB45"/>
    <mergeCell ref="BZ47:CB47"/>
    <mergeCell ref="BR41:BR42"/>
    <mergeCell ref="BR43:BR44"/>
    <mergeCell ref="BV17:BV23"/>
    <mergeCell ref="BO41:BO42"/>
    <mergeCell ref="BQ37:BQ38"/>
    <mergeCell ref="BO11:BO12"/>
    <mergeCell ref="CS46:CT47"/>
    <mergeCell ref="CP30:CQ35"/>
    <mergeCell ref="CR42:CR45"/>
    <mergeCell ref="CS34:CT35"/>
    <mergeCell ref="CU34:CV35"/>
    <mergeCell ref="CZ28:CZ31"/>
    <mergeCell ref="CX36:CY39"/>
    <mergeCell ref="CZ36:CZ39"/>
    <mergeCell ref="CP36:CP39"/>
    <mergeCell ref="CQ36:CQ39"/>
    <mergeCell ref="CZ32:CZ33"/>
    <mergeCell ref="BK33:BK34"/>
    <mergeCell ref="BL33:BL34"/>
    <mergeCell ref="BL7:BL8"/>
    <mergeCell ref="BM7:BM8"/>
    <mergeCell ref="BN7:BN8"/>
    <mergeCell ref="BO7:BO8"/>
    <mergeCell ref="BP7:BP8"/>
    <mergeCell ref="BN15:BN16"/>
    <mergeCell ref="BN17:BN18"/>
    <mergeCell ref="BM29:BM30"/>
    <mergeCell ref="BM37:BM38"/>
    <mergeCell ref="BN29:BN30"/>
    <mergeCell ref="BP37:BP38"/>
    <mergeCell ref="CM22:CM24"/>
    <mergeCell ref="BO17:BO18"/>
    <mergeCell ref="BO27:BO28"/>
    <mergeCell ref="BP27:BP28"/>
    <mergeCell ref="BQ31:BQ32"/>
    <mergeCell ref="BQ33:BQ34"/>
    <mergeCell ref="BK27:BK28"/>
    <mergeCell ref="BL21:BL22"/>
    <mergeCell ref="CJ37:CM37"/>
    <mergeCell ref="CL22:CL24"/>
    <mergeCell ref="BC7:BC8"/>
    <mergeCell ref="BC9:BC10"/>
    <mergeCell ref="BC11:BC12"/>
    <mergeCell ref="BC13:BC14"/>
    <mergeCell ref="BC15:BC16"/>
    <mergeCell ref="BC17:BC18"/>
    <mergeCell ref="BC19:BC20"/>
    <mergeCell ref="BC21:BC22"/>
    <mergeCell ref="BG7:BG8"/>
    <mergeCell ref="BD7:BD8"/>
    <mergeCell ref="BE7:BE8"/>
    <mergeCell ref="BF7:BF8"/>
    <mergeCell ref="BM9:BM10"/>
    <mergeCell ref="BN9:BN10"/>
    <mergeCell ref="BO9:BO10"/>
    <mergeCell ref="BP9:BP10"/>
    <mergeCell ref="BD11:BD12"/>
    <mergeCell ref="BE11:BE12"/>
    <mergeCell ref="BF11:BF12"/>
    <mergeCell ref="BH11:BH12"/>
    <mergeCell ref="BI11:BI12"/>
    <mergeCell ref="BD9:BD10"/>
    <mergeCell ref="BI7:BI8"/>
    <mergeCell ref="BJ7:BJ8"/>
    <mergeCell ref="BK7:BK8"/>
    <mergeCell ref="BE17:BE18"/>
    <mergeCell ref="BF17:BF18"/>
    <mergeCell ref="BG17:BG18"/>
    <mergeCell ref="BG9:BG10"/>
    <mergeCell ref="BH9:BH10"/>
    <mergeCell ref="BJ9:BJ10"/>
    <mergeCell ref="CJ41:CM41"/>
    <mergeCell ref="CR36:CR39"/>
    <mergeCell ref="BY51:BY53"/>
    <mergeCell ref="CQ40:CQ41"/>
    <mergeCell ref="CD23:CE23"/>
    <mergeCell ref="CD35:CE35"/>
    <mergeCell ref="CD29:CF29"/>
    <mergeCell ref="BZ19:CB19"/>
    <mergeCell ref="CN18:CN20"/>
    <mergeCell ref="CQ20:CR21"/>
    <mergeCell ref="CS20:CS21"/>
    <mergeCell ref="BO29:BO30"/>
    <mergeCell ref="BP25:BP26"/>
    <mergeCell ref="BP29:BP30"/>
    <mergeCell ref="BR11:BR12"/>
    <mergeCell ref="BR13:BR14"/>
    <mergeCell ref="BQ39:BQ40"/>
    <mergeCell ref="BQ11:BQ12"/>
    <mergeCell ref="BQ13:BQ14"/>
    <mergeCell ref="BQ15:BQ16"/>
    <mergeCell ref="BQ17:BQ18"/>
    <mergeCell ref="BQ19:BQ20"/>
    <mergeCell ref="BQ21:BQ22"/>
    <mergeCell ref="BQ23:BQ24"/>
    <mergeCell ref="BO15:BO16"/>
    <mergeCell ref="BP15:BP16"/>
    <mergeCell ref="BO31:BO32"/>
    <mergeCell ref="BV37:CF41"/>
    <mergeCell ref="BR15:BR16"/>
    <mergeCell ref="BP41:BP42"/>
    <mergeCell ref="BI61:BI62"/>
    <mergeCell ref="BH63:BH64"/>
    <mergeCell ref="BX57:CB57"/>
    <mergeCell ref="BP39:BP40"/>
    <mergeCell ref="BQ41:BQ42"/>
    <mergeCell ref="BQ43:BQ44"/>
    <mergeCell ref="BQ45:BQ46"/>
    <mergeCell ref="BR45:BR46"/>
    <mergeCell ref="BQ47:BQ48"/>
    <mergeCell ref="BQ49:BQ50"/>
    <mergeCell ref="BK39:BK40"/>
    <mergeCell ref="BL39:BL40"/>
    <mergeCell ref="BM39:BM40"/>
    <mergeCell ref="BO39:BO40"/>
    <mergeCell ref="BO47:BO48"/>
    <mergeCell ref="BK63:BK64"/>
    <mergeCell ref="BL63:BL64"/>
    <mergeCell ref="BM63:BM64"/>
    <mergeCell ref="BN63:BN64"/>
    <mergeCell ref="BL55:BL56"/>
    <mergeCell ref="BM55:BM56"/>
    <mergeCell ref="BN55:BN56"/>
    <mergeCell ref="BO55:BO56"/>
    <mergeCell ref="BN51:BN52"/>
    <mergeCell ref="BQ51:BQ52"/>
    <mergeCell ref="BQ53:BQ54"/>
    <mergeCell ref="BQ55:BQ56"/>
    <mergeCell ref="BK55:BK56"/>
    <mergeCell ref="BP63:BP64"/>
    <mergeCell ref="BK59:BK60"/>
    <mergeCell ref="BR39:BR40"/>
    <mergeCell ref="BO61:BO62"/>
    <mergeCell ref="BN59:BN60"/>
    <mergeCell ref="BO59:BO60"/>
    <mergeCell ref="BJ61:BJ62"/>
    <mergeCell ref="BM53:BM54"/>
    <mergeCell ref="BN53:BN54"/>
    <mergeCell ref="BJ51:BJ52"/>
    <mergeCell ref="BK51:BK52"/>
    <mergeCell ref="BL51:BL52"/>
    <mergeCell ref="BO43:BO44"/>
    <mergeCell ref="BP43:BP44"/>
    <mergeCell ref="BM51:BM52"/>
    <mergeCell ref="BJ43:BJ44"/>
    <mergeCell ref="BR59:BR60"/>
    <mergeCell ref="BV57:BW57"/>
    <mergeCell ref="BK71:BK72"/>
    <mergeCell ref="BR71:BR72"/>
    <mergeCell ref="BV71:BW71"/>
    <mergeCell ref="BR69:BR70"/>
    <mergeCell ref="BQ63:BQ64"/>
    <mergeCell ref="BN67:BN68"/>
    <mergeCell ref="BJ57:BJ58"/>
    <mergeCell ref="BO63:BO64"/>
    <mergeCell ref="BN69:BN70"/>
    <mergeCell ref="BP67:BP68"/>
    <mergeCell ref="BO65:BO66"/>
    <mergeCell ref="BP65:BP66"/>
    <mergeCell ref="BO69:BO70"/>
    <mergeCell ref="BP69:BP70"/>
    <mergeCell ref="BN49:BN50"/>
    <mergeCell ref="BM49:BM50"/>
    <mergeCell ref="BL49:BL50"/>
    <mergeCell ref="BN71:BN72"/>
    <mergeCell ref="BR61:BR62"/>
    <mergeCell ref="BZ51:BZ53"/>
    <mergeCell ref="BC75:BC76"/>
    <mergeCell ref="BD67:BD68"/>
    <mergeCell ref="BH53:BH54"/>
    <mergeCell ref="BI53:BI54"/>
    <mergeCell ref="BJ63:BJ64"/>
    <mergeCell ref="BJ53:BJ54"/>
    <mergeCell ref="BK53:BK54"/>
    <mergeCell ref="BL53:BL54"/>
    <mergeCell ref="BF59:BF60"/>
    <mergeCell ref="BG59:BG60"/>
    <mergeCell ref="BH59:BH60"/>
    <mergeCell ref="BI59:BI60"/>
    <mergeCell ref="BJ59:BJ60"/>
    <mergeCell ref="BE61:BE62"/>
    <mergeCell ref="BF61:BF62"/>
    <mergeCell ref="BI55:BI56"/>
    <mergeCell ref="BJ55:BJ56"/>
    <mergeCell ref="BC61:BC62"/>
    <mergeCell ref="BE59:BE60"/>
    <mergeCell ref="BJ65:BJ66"/>
    <mergeCell ref="BO51:BO52"/>
    <mergeCell ref="BP51:BP52"/>
    <mergeCell ref="BL71:BL72"/>
    <mergeCell ref="BL59:BL60"/>
    <mergeCell ref="BM59:BM60"/>
    <mergeCell ref="BD57:BD58"/>
    <mergeCell ref="BD55:BD56"/>
    <mergeCell ref="BE55:BE56"/>
    <mergeCell ref="BG57:BG58"/>
    <mergeCell ref="BN61:BN62"/>
    <mergeCell ref="BX110:BX111"/>
    <mergeCell ref="BY110:BY111"/>
    <mergeCell ref="BZ110:BZ111"/>
    <mergeCell ref="CA110:CA111"/>
    <mergeCell ref="CB110:CB111"/>
    <mergeCell ref="BV105:BX105"/>
    <mergeCell ref="CB72:CB74"/>
    <mergeCell ref="CC72:CC74"/>
    <mergeCell ref="CD72:CD74"/>
    <mergeCell ref="BX97:BX99"/>
    <mergeCell ref="BY97:BY99"/>
    <mergeCell ref="BW89:BW90"/>
    <mergeCell ref="BX72:BX74"/>
    <mergeCell ref="BY72:BY74"/>
    <mergeCell ref="BZ72:BZ74"/>
    <mergeCell ref="CA72:CA74"/>
    <mergeCell ref="BZ97:BZ99"/>
    <mergeCell ref="CA97:CA99"/>
    <mergeCell ref="CB97:CB99"/>
    <mergeCell ref="CC97:CC99"/>
    <mergeCell ref="CD97:CD99"/>
    <mergeCell ref="BV87:BV93"/>
    <mergeCell ref="BX89:BX90"/>
    <mergeCell ref="CD89:CD90"/>
    <mergeCell ref="CA89:CA90"/>
    <mergeCell ref="BZ89:BZ90"/>
    <mergeCell ref="CK83:CK84"/>
    <mergeCell ref="CL83:CL84"/>
    <mergeCell ref="CM83:CM84"/>
    <mergeCell ref="CK86:CK87"/>
    <mergeCell ref="CL86:CL87"/>
    <mergeCell ref="CM86:CM87"/>
    <mergeCell ref="CE110:CE111"/>
    <mergeCell ref="CJ1:CN1"/>
    <mergeCell ref="C15:F15"/>
    <mergeCell ref="C17:F17"/>
    <mergeCell ref="C19:F19"/>
    <mergeCell ref="BH67:BH68"/>
    <mergeCell ref="AU47:AW47"/>
    <mergeCell ref="AU59:AW59"/>
    <mergeCell ref="H49:I49"/>
    <mergeCell ref="AU37:AW37"/>
    <mergeCell ref="AU49:AW49"/>
    <mergeCell ref="AU61:AW61"/>
    <mergeCell ref="H25:I25"/>
    <mergeCell ref="H29:I29"/>
    <mergeCell ref="H43:I43"/>
    <mergeCell ref="H27:I27"/>
    <mergeCell ref="H31:I31"/>
    <mergeCell ref="H33:I33"/>
    <mergeCell ref="BV94:BX94"/>
    <mergeCell ref="BY86:BY88"/>
    <mergeCell ref="CF110:CF111"/>
    <mergeCell ref="BX85:CB85"/>
    <mergeCell ref="CJ69:CL69"/>
    <mergeCell ref="BQ73:BQ74"/>
    <mergeCell ref="B68:L69"/>
    <mergeCell ref="BQ61:BQ62"/>
    <mergeCell ref="BG61:BG62"/>
    <mergeCell ref="BH61:BH62"/>
    <mergeCell ref="BP61:BP62"/>
    <mergeCell ref="AQ55:AR55"/>
    <mergeCell ref="AU19:AW19"/>
    <mergeCell ref="AU21:AW21"/>
    <mergeCell ref="AU25:AW25"/>
    <mergeCell ref="AN29:AO29"/>
    <mergeCell ref="C37:F37"/>
    <mergeCell ref="C39:F39"/>
    <mergeCell ref="C41:F41"/>
    <mergeCell ref="B43:F43"/>
    <mergeCell ref="C45:F45"/>
    <mergeCell ref="C47:F47"/>
    <mergeCell ref="C49:F49"/>
    <mergeCell ref="AN53:AR53"/>
    <mergeCell ref="H55:I55"/>
    <mergeCell ref="B57:F59"/>
    <mergeCell ref="J51:K51"/>
    <mergeCell ref="B31:F31"/>
    <mergeCell ref="C33:F33"/>
    <mergeCell ref="H51:I51"/>
    <mergeCell ref="C51:F51"/>
    <mergeCell ref="AQ57:BA57"/>
    <mergeCell ref="C53:F53"/>
    <mergeCell ref="B25:F25"/>
    <mergeCell ref="B27:F27"/>
    <mergeCell ref="H41:I41"/>
    <mergeCell ref="AP29:BA29"/>
    <mergeCell ref="AN27:AZ27"/>
    <mergeCell ref="H39:I39"/>
    <mergeCell ref="H47:I47"/>
    <mergeCell ref="H37:I37"/>
    <mergeCell ref="H45:I45"/>
    <mergeCell ref="H23:I23"/>
    <mergeCell ref="H53:I53"/>
    <mergeCell ref="BV55:BW55"/>
    <mergeCell ref="BD41:BD42"/>
    <mergeCell ref="BE41:BE42"/>
    <mergeCell ref="BR53:BR54"/>
    <mergeCell ref="BR55:BR56"/>
    <mergeCell ref="BR57:BR58"/>
    <mergeCell ref="BO13:BO14"/>
    <mergeCell ref="BP13:BP14"/>
    <mergeCell ref="BJ13:BJ14"/>
    <mergeCell ref="BK13:BK14"/>
    <mergeCell ref="BL13:BL14"/>
    <mergeCell ref="BM13:BM14"/>
    <mergeCell ref="AU23:AW23"/>
    <mergeCell ref="BO53:BO54"/>
    <mergeCell ref="BR37:BR38"/>
    <mergeCell ref="BW23:BX23"/>
    <mergeCell ref="BW35:BX35"/>
    <mergeCell ref="BW19:BX19"/>
    <mergeCell ref="BW31:BX31"/>
    <mergeCell ref="BR31:BR32"/>
    <mergeCell ref="BR33:BR34"/>
    <mergeCell ref="BR35:BR36"/>
    <mergeCell ref="BP31:BP32"/>
    <mergeCell ref="BN21:BN22"/>
    <mergeCell ref="BO21:BO22"/>
    <mergeCell ref="BP21:BP22"/>
    <mergeCell ref="BH39:BH40"/>
    <mergeCell ref="BG39:BG40"/>
    <mergeCell ref="B6:C6"/>
    <mergeCell ref="D6:L6"/>
    <mergeCell ref="H17:I17"/>
    <mergeCell ref="H15:I15"/>
    <mergeCell ref="H19:I19"/>
    <mergeCell ref="J15:K15"/>
    <mergeCell ref="J19:K19"/>
    <mergeCell ref="J23:K23"/>
    <mergeCell ref="BR47:BR48"/>
    <mergeCell ref="BR49:BR50"/>
    <mergeCell ref="BR51:BR52"/>
    <mergeCell ref="B12:L13"/>
    <mergeCell ref="AM12:BA13"/>
    <mergeCell ref="C23:F23"/>
    <mergeCell ref="C29:F29"/>
    <mergeCell ref="CC58:CC60"/>
    <mergeCell ref="CD58:CD60"/>
    <mergeCell ref="BJ47:BJ48"/>
    <mergeCell ref="BN27:BN28"/>
    <mergeCell ref="BK49:BK50"/>
    <mergeCell ref="BI27:BI28"/>
    <mergeCell ref="BJ29:BJ30"/>
    <mergeCell ref="BF27:BF28"/>
    <mergeCell ref="BG27:BG28"/>
    <mergeCell ref="BH27:BH28"/>
    <mergeCell ref="BE57:BE58"/>
    <mergeCell ref="BF57:BF58"/>
    <mergeCell ref="BP55:BP56"/>
    <mergeCell ref="BO57:BO58"/>
    <mergeCell ref="BK57:BK58"/>
    <mergeCell ref="BL57:BL58"/>
    <mergeCell ref="AO9:AW10"/>
    <mergeCell ref="CE58:CE60"/>
    <mergeCell ref="CF58:CF60"/>
    <mergeCell ref="BV59:BV68"/>
    <mergeCell ref="BX58:BX60"/>
    <mergeCell ref="BY58:BY60"/>
    <mergeCell ref="BZ58:BZ60"/>
    <mergeCell ref="CA58:CA60"/>
    <mergeCell ref="BV69:BX69"/>
    <mergeCell ref="BX71:CB71"/>
    <mergeCell ref="CC71:CG71"/>
    <mergeCell ref="CD4:CF4"/>
    <mergeCell ref="BZ29:CC29"/>
    <mergeCell ref="CD13:CE13"/>
    <mergeCell ref="BW4:BY4"/>
    <mergeCell ref="BW17:BY18"/>
    <mergeCell ref="BW29:BY30"/>
    <mergeCell ref="CB58:CB60"/>
    <mergeCell ref="BW5:BX5"/>
    <mergeCell ref="BZ5:CB5"/>
    <mergeCell ref="CD5:CE5"/>
    <mergeCell ref="CD7:CE7"/>
    <mergeCell ref="BZ7:CB7"/>
    <mergeCell ref="BZ17:CC17"/>
    <mergeCell ref="BZ13:CB13"/>
    <mergeCell ref="BW13:BX13"/>
    <mergeCell ref="BW49:BX49"/>
    <mergeCell ref="BZ49:CB49"/>
    <mergeCell ref="CD49:CE49"/>
    <mergeCell ref="CZ40:CZ41"/>
    <mergeCell ref="CX40:CY41"/>
    <mergeCell ref="CP83:CX84"/>
    <mergeCell ref="CP90:CX90"/>
    <mergeCell ref="CX98:CZ99"/>
    <mergeCell ref="CS85:CS87"/>
    <mergeCell ref="CZ100:CZ101"/>
    <mergeCell ref="CP91:CP93"/>
    <mergeCell ref="CJ83:CJ85"/>
    <mergeCell ref="CN86:CN87"/>
    <mergeCell ref="CN80:CN81"/>
    <mergeCell ref="CM77:CM78"/>
    <mergeCell ref="CP105:CP106"/>
    <mergeCell ref="CR94:CR96"/>
    <mergeCell ref="CS105:CS106"/>
    <mergeCell ref="CT102:CV106"/>
    <mergeCell ref="CY78:CY79"/>
    <mergeCell ref="CX104:CY105"/>
    <mergeCell ref="CX106:CY107"/>
    <mergeCell ref="CY75:CZ77"/>
    <mergeCell ref="CQ81:CQ82"/>
    <mergeCell ref="CR81:CR82"/>
    <mergeCell ref="CQ50:CQ53"/>
    <mergeCell ref="CR50:CR53"/>
    <mergeCell ref="CK75:CN76"/>
    <mergeCell ref="CL80:CL81"/>
    <mergeCell ref="CM80:CM81"/>
    <mergeCell ref="CN83:CN84"/>
    <mergeCell ref="CS54:CS55"/>
    <mergeCell ref="CP48:CW49"/>
    <mergeCell ref="CS42:CT45"/>
    <mergeCell ref="CJ45:CM45"/>
    <mergeCell ref="CJ2:CN2"/>
    <mergeCell ref="CJ3:CN3"/>
    <mergeCell ref="CJ4:CN4"/>
    <mergeCell ref="CJ5:CN5"/>
    <mergeCell ref="CK10:CK12"/>
    <mergeCell ref="CL10:CL12"/>
    <mergeCell ref="CM10:CM12"/>
    <mergeCell ref="CN10:CN12"/>
    <mergeCell ref="CJ7:CN8"/>
    <mergeCell ref="CK9:CN9"/>
    <mergeCell ref="CJ10:CJ13"/>
    <mergeCell ref="CT121:CU122"/>
    <mergeCell ref="CP77:CX78"/>
    <mergeCell ref="CP88:CP89"/>
    <mergeCell ref="CP81:CP82"/>
    <mergeCell ref="CT94:CU96"/>
    <mergeCell ref="CS94:CS96"/>
    <mergeCell ref="CV94:CV96"/>
    <mergeCell ref="CW117:CX117"/>
    <mergeCell ref="CW114:CX114"/>
    <mergeCell ref="CW118:CX118"/>
    <mergeCell ref="CJ71:CL71"/>
    <mergeCell ref="CK80:CK81"/>
    <mergeCell ref="CS91:CS93"/>
    <mergeCell ref="CX26:CZ27"/>
    <mergeCell ref="CW79:CX80"/>
    <mergeCell ref="CQ85:CR87"/>
    <mergeCell ref="CP56:CP59"/>
    <mergeCell ref="CZ46:CZ47"/>
    <mergeCell ref="CZ80:CZ81"/>
    <mergeCell ref="CJ43:CM43"/>
    <mergeCell ref="CX42:CY45"/>
    <mergeCell ref="CJ166:CL166"/>
    <mergeCell ref="CN22:CN24"/>
    <mergeCell ref="CJ22:CJ25"/>
    <mergeCell ref="CJ107:CL107"/>
    <mergeCell ref="CJ109:CL109"/>
    <mergeCell ref="CJ110:CL110"/>
    <mergeCell ref="CP112:CW112"/>
    <mergeCell ref="CK77:CK78"/>
    <mergeCell ref="CL77:CL78"/>
    <mergeCell ref="CJ131:CJ134"/>
    <mergeCell ref="CJ135:CJ138"/>
    <mergeCell ref="CJ111:CL111"/>
    <mergeCell ref="CJ86:CJ88"/>
    <mergeCell ref="CJ80:CJ82"/>
    <mergeCell ref="CJ163:CL163"/>
    <mergeCell ref="CJ165:CL165"/>
    <mergeCell ref="CJ161:CL161"/>
    <mergeCell ref="CJ155:CM155"/>
    <mergeCell ref="CJ149:CM149"/>
    <mergeCell ref="CM139:CM141"/>
    <mergeCell ref="CU154:CV155"/>
    <mergeCell ref="CT146:CU148"/>
    <mergeCell ref="CV146:CV148"/>
    <mergeCell ref="CS143:CS144"/>
    <mergeCell ref="CT143:CU144"/>
    <mergeCell ref="CQ149:CQ150"/>
    <mergeCell ref="CR149:CR150"/>
    <mergeCell ref="CS149:CS150"/>
    <mergeCell ref="CS24:CS27"/>
    <mergeCell ref="CP50:CP53"/>
    <mergeCell ref="CJ112:CL112"/>
    <mergeCell ref="CP40:CP41"/>
    <mergeCell ref="CJ167:CL167"/>
    <mergeCell ref="CR40:CR41"/>
    <mergeCell ref="CJ168:CL168"/>
    <mergeCell ref="CV24:CV27"/>
    <mergeCell ref="CV28:CV29"/>
    <mergeCell ref="CT28:CU29"/>
    <mergeCell ref="CR34:CR35"/>
    <mergeCell ref="CT24:CU27"/>
    <mergeCell ref="CS50:CS53"/>
    <mergeCell ref="CT50:CU53"/>
    <mergeCell ref="CP46:CP47"/>
    <mergeCell ref="CQ46:CQ47"/>
    <mergeCell ref="CR46:CR47"/>
    <mergeCell ref="CU42:CV47"/>
    <mergeCell ref="CP60:CP61"/>
    <mergeCell ref="CQ56:CQ59"/>
    <mergeCell ref="CQ60:CQ61"/>
    <mergeCell ref="CT54:CU55"/>
    <mergeCell ref="CP54:CP55"/>
    <mergeCell ref="CQ54:CQ55"/>
    <mergeCell ref="CS40:CS41"/>
    <mergeCell ref="CT36:CV41"/>
    <mergeCell ref="CJ55:CL55"/>
    <mergeCell ref="CJ57:CL57"/>
    <mergeCell ref="CJ59:CL59"/>
    <mergeCell ref="CJ139:CJ142"/>
    <mergeCell ref="CJ105:CL105"/>
    <mergeCell ref="CJ143:CJ146"/>
    <mergeCell ref="CT85:CU87"/>
    <mergeCell ref="CS88:CS89"/>
    <mergeCell ref="CJ160:CL160"/>
    <mergeCell ref="CK143:CK145"/>
    <mergeCell ref="CL131:CL133"/>
    <mergeCell ref="CJ162:CL162"/>
    <mergeCell ref="CQ107:CQ109"/>
    <mergeCell ref="CP110:CP111"/>
    <mergeCell ref="CQ110:CQ111"/>
    <mergeCell ref="CR110:CR111"/>
    <mergeCell ref="CS110:CS111"/>
    <mergeCell ref="CP107:CP109"/>
    <mergeCell ref="CQ102:CQ104"/>
    <mergeCell ref="CR102:CR104"/>
    <mergeCell ref="CN135:CN137"/>
    <mergeCell ref="CL139:CL141"/>
    <mergeCell ref="CK131:CK133"/>
    <mergeCell ref="CK130:CN130"/>
    <mergeCell ref="CM131:CM133"/>
    <mergeCell ref="CN131:CN133"/>
    <mergeCell ref="CK135:CK137"/>
    <mergeCell ref="CJ104:CL104"/>
    <mergeCell ref="CJ106:CL106"/>
    <mergeCell ref="CR154:CR155"/>
    <mergeCell ref="CS154:CT155"/>
    <mergeCell ref="CR105:CR106"/>
    <mergeCell ref="CS102:CS104"/>
    <mergeCell ref="CR121:CR122"/>
    <mergeCell ref="CS121:CS122"/>
    <mergeCell ref="CL143:CL145"/>
    <mergeCell ref="CM143:CM145"/>
    <mergeCell ref="CT149:CU150"/>
    <mergeCell ref="CP145:CX145"/>
    <mergeCell ref="CP138:CX139"/>
    <mergeCell ref="CP140:CP142"/>
    <mergeCell ref="CQ140:CR142"/>
    <mergeCell ref="CE115:CG116"/>
    <mergeCell ref="CQ42:CQ45"/>
    <mergeCell ref="CP42:CP45"/>
    <mergeCell ref="CW81:CX82"/>
    <mergeCell ref="CJ99:CM99"/>
    <mergeCell ref="CJ98:CM98"/>
    <mergeCell ref="CF89:CF90"/>
    <mergeCell ref="CG89:CG90"/>
    <mergeCell ref="CG112:CG113"/>
    <mergeCell ref="CU81:CV82"/>
    <mergeCell ref="CV50:CV53"/>
    <mergeCell ref="CQ79:CQ80"/>
    <mergeCell ref="CE107:CG109"/>
    <mergeCell ref="CV91:CV93"/>
    <mergeCell ref="CG110:CG111"/>
    <mergeCell ref="CV85:CX89"/>
    <mergeCell ref="CJ77:CJ79"/>
    <mergeCell ref="CE72:CE74"/>
    <mergeCell ref="CF72:CF74"/>
    <mergeCell ref="CG72:CG74"/>
    <mergeCell ref="CQ88:CR89"/>
    <mergeCell ref="CG86:CG88"/>
    <mergeCell ref="CC85:CG85"/>
    <mergeCell ref="CC57:CG57"/>
    <mergeCell ref="CT88:CU89"/>
    <mergeCell ref="CP85:CP87"/>
    <mergeCell ref="CP97:CQ101"/>
    <mergeCell ref="CF112:CF113"/>
    <mergeCell ref="CJ65:CL65"/>
    <mergeCell ref="CJ67:CL67"/>
    <mergeCell ref="CE112:CE113"/>
    <mergeCell ref="CW24:CW47"/>
    <mergeCell ref="CP4:CX5"/>
    <mergeCell ref="CJ75:CJ76"/>
    <mergeCell ref="CX32:CY33"/>
    <mergeCell ref="CJ33:CM33"/>
    <mergeCell ref="BX107:BX109"/>
    <mergeCell ref="BY107:BY109"/>
    <mergeCell ref="BZ107:BZ109"/>
    <mergeCell ref="CA107:CA109"/>
    <mergeCell ref="CB107:CB109"/>
    <mergeCell ref="BZ4:CC4"/>
    <mergeCell ref="BZ9:CB9"/>
    <mergeCell ref="BZ11:CB11"/>
    <mergeCell ref="BZ86:BZ88"/>
    <mergeCell ref="CA86:CA88"/>
    <mergeCell ref="BV106:CG106"/>
    <mergeCell ref="CB86:CB88"/>
    <mergeCell ref="CC86:CC88"/>
    <mergeCell ref="CD86:CD88"/>
    <mergeCell ref="CE86:CE88"/>
    <mergeCell ref="CF86:CF88"/>
    <mergeCell ref="CN14:CN16"/>
    <mergeCell ref="CK18:CK20"/>
    <mergeCell ref="CT20:CU21"/>
    <mergeCell ref="CP22:CW23"/>
    <mergeCell ref="CP20:CP21"/>
    <mergeCell ref="CM14:CM16"/>
    <mergeCell ref="CL14:CL16"/>
    <mergeCell ref="BV5:BV8"/>
    <mergeCell ref="BV83:BX83"/>
    <mergeCell ref="BV85:BW85"/>
    <mergeCell ref="BV107:BW111"/>
    <mergeCell ref="BX86:BX88"/>
    <mergeCell ref="CX8:CX11"/>
    <mergeCell ref="BZ21:CB21"/>
    <mergeCell ref="BZ23:CB23"/>
    <mergeCell ref="BZ31:CB31"/>
    <mergeCell ref="BZ33:CB33"/>
    <mergeCell ref="BZ35:CB35"/>
    <mergeCell ref="BV14:CF15"/>
    <mergeCell ref="BV25:CF27"/>
    <mergeCell ref="BV29:BV35"/>
    <mergeCell ref="CP8:CP11"/>
    <mergeCell ref="CJ14:CJ17"/>
    <mergeCell ref="CJ18:CJ21"/>
    <mergeCell ref="CK14:CK16"/>
    <mergeCell ref="BW9:BX9"/>
    <mergeCell ref="CP28:CP29"/>
    <mergeCell ref="CQ28:CQ29"/>
    <mergeCell ref="CR30:CR33"/>
    <mergeCell ref="CS30:CT33"/>
    <mergeCell ref="BV9:BV13"/>
    <mergeCell ref="CD17:CF17"/>
    <mergeCell ref="CU30:CV33"/>
    <mergeCell ref="CK22:CK24"/>
    <mergeCell ref="CX28:CY31"/>
    <mergeCell ref="CY7:CY9"/>
    <mergeCell ref="CZ7:CZ9"/>
    <mergeCell ref="CQ8:CQ11"/>
    <mergeCell ref="CX12:CX13"/>
    <mergeCell ref="CX15:CX25"/>
    <mergeCell ref="CR24:CR27"/>
    <mergeCell ref="CR8:CR11"/>
    <mergeCell ref="CS8:CT11"/>
    <mergeCell ref="CQ16:CR19"/>
    <mergeCell ref="CS16:CS19"/>
    <mergeCell ref="CT16:CU19"/>
    <mergeCell ref="CS12:CT13"/>
    <mergeCell ref="CX34:CZ35"/>
    <mergeCell ref="CU8:CV11"/>
    <mergeCell ref="CY12:CZ25"/>
    <mergeCell ref="CS36:CS39"/>
    <mergeCell ref="CZ10:CZ11"/>
    <mergeCell ref="CJ39:CM39"/>
    <mergeCell ref="CW8:CW11"/>
    <mergeCell ref="CP12:CP13"/>
    <mergeCell ref="CR28:CR29"/>
    <mergeCell ref="CS28:CS29"/>
    <mergeCell ref="CL18:CL20"/>
    <mergeCell ref="CM18:CM20"/>
    <mergeCell ref="CQ12:CQ13"/>
    <mergeCell ref="CR12:CR13"/>
    <mergeCell ref="CV16:CW21"/>
    <mergeCell ref="CW12:CW13"/>
    <mergeCell ref="CU12:CV13"/>
    <mergeCell ref="CY10:CY11"/>
    <mergeCell ref="CP16:CP19"/>
    <mergeCell ref="CJ31:CM31"/>
    <mergeCell ref="CJ35:CM35"/>
    <mergeCell ref="BK67:BK68"/>
    <mergeCell ref="BL67:BL68"/>
    <mergeCell ref="BM67:BM68"/>
    <mergeCell ref="BR63:BR64"/>
    <mergeCell ref="BR65:BR66"/>
    <mergeCell ref="BR67:BR68"/>
    <mergeCell ref="BK75:BK76"/>
    <mergeCell ref="BL75:BL76"/>
    <mergeCell ref="BM75:BM76"/>
    <mergeCell ref="BN75:BN76"/>
    <mergeCell ref="BO75:BO76"/>
    <mergeCell ref="BP75:BP76"/>
    <mergeCell ref="BC69:BC70"/>
    <mergeCell ref="BJ69:BJ70"/>
    <mergeCell ref="BK69:BK70"/>
    <mergeCell ref="BL69:BL70"/>
    <mergeCell ref="BM69:BM70"/>
    <mergeCell ref="BI67:BI68"/>
    <mergeCell ref="BJ67:BJ68"/>
    <mergeCell ref="BQ75:BQ76"/>
    <mergeCell ref="BJ71:BJ72"/>
    <mergeCell ref="BE69:BE70"/>
    <mergeCell ref="BO71:BO72"/>
    <mergeCell ref="BP71:BP72"/>
    <mergeCell ref="BD73:BD74"/>
    <mergeCell ref="BE73:BE74"/>
    <mergeCell ref="BF73:BF74"/>
    <mergeCell ref="BG73:BG74"/>
    <mergeCell ref="BH73:BH74"/>
    <mergeCell ref="BI73:BI74"/>
    <mergeCell ref="BJ73:BJ74"/>
    <mergeCell ref="BJ75:BJ76"/>
    <mergeCell ref="AU93:AW93"/>
    <mergeCell ref="AQ71:AT71"/>
    <mergeCell ref="AU71:AW71"/>
    <mergeCell ref="AQ73:AT73"/>
    <mergeCell ref="AU73:AW73"/>
    <mergeCell ref="AQ41:BA41"/>
    <mergeCell ref="AP113:AQ113"/>
    <mergeCell ref="AQ35:AT35"/>
    <mergeCell ref="AQ37:AT37"/>
    <mergeCell ref="AQ31:AR31"/>
    <mergeCell ref="AQ33:AR33"/>
    <mergeCell ref="AQ43:AR43"/>
    <mergeCell ref="AQ45:AR45"/>
    <mergeCell ref="AQ47:AT47"/>
    <mergeCell ref="AQ49:AT49"/>
    <mergeCell ref="AU77:AW77"/>
    <mergeCell ref="AU79:AW79"/>
    <mergeCell ref="AU81:AW81"/>
    <mergeCell ref="AU82:AW82"/>
    <mergeCell ref="AU83:AW83"/>
    <mergeCell ref="AU88:AW88"/>
    <mergeCell ref="AU90:AW90"/>
    <mergeCell ref="AU91:AW91"/>
    <mergeCell ref="AN41:AP41"/>
    <mergeCell ref="AN39:AZ39"/>
    <mergeCell ref="AU92:AW92"/>
    <mergeCell ref="AQ61:AT61"/>
    <mergeCell ref="AU35:AW35"/>
    <mergeCell ref="AQ59:AT59"/>
    <mergeCell ref="BG35:BG36"/>
    <mergeCell ref="BG51:BG52"/>
    <mergeCell ref="BC45:BC46"/>
    <mergeCell ref="BC47:BC48"/>
    <mergeCell ref="CW1:CX1"/>
    <mergeCell ref="CW2:CX2"/>
    <mergeCell ref="BV96:BW96"/>
    <mergeCell ref="BX96:CB96"/>
    <mergeCell ref="CC96:CG96"/>
    <mergeCell ref="AM85:BA86"/>
    <mergeCell ref="AN65:AR65"/>
    <mergeCell ref="AQ67:AR67"/>
    <mergeCell ref="AQ69:BA69"/>
    <mergeCell ref="BF19:BF20"/>
    <mergeCell ref="BG19:BG20"/>
    <mergeCell ref="BH19:BH20"/>
    <mergeCell ref="BI19:BI20"/>
    <mergeCell ref="BJ19:BJ20"/>
    <mergeCell ref="BN25:BN26"/>
    <mergeCell ref="BO25:BO26"/>
    <mergeCell ref="BK19:BK20"/>
    <mergeCell ref="BL19:BL20"/>
    <mergeCell ref="BL31:BL32"/>
    <mergeCell ref="BN31:BN32"/>
    <mergeCell ref="BM71:BM72"/>
    <mergeCell ref="BD49:BD50"/>
    <mergeCell ref="BE49:BE50"/>
    <mergeCell ref="BF49:BF50"/>
    <mergeCell ref="BD43:BD44"/>
    <mergeCell ref="BE43:BE44"/>
    <mergeCell ref="BD39:BD40"/>
    <mergeCell ref="BE39:BE40"/>
    <mergeCell ref="BF39:BF40"/>
    <mergeCell ref="BE79:BE80"/>
    <mergeCell ref="BG79:BG80"/>
    <mergeCell ref="BI79:BI80"/>
    <mergeCell ref="BH79:BH80"/>
    <mergeCell ref="BJ79:BJ80"/>
    <mergeCell ref="BK79:BK80"/>
    <mergeCell ref="BL79:BL80"/>
    <mergeCell ref="BM79:BM80"/>
    <mergeCell ref="BN79:BN80"/>
    <mergeCell ref="CF97:CF99"/>
    <mergeCell ref="CG97:CG99"/>
    <mergeCell ref="BV98:BV104"/>
    <mergeCell ref="BW100:BW101"/>
    <mergeCell ref="BX100:BX101"/>
    <mergeCell ref="BY100:BY101"/>
    <mergeCell ref="BZ100:BZ101"/>
    <mergeCell ref="CA100:CA101"/>
    <mergeCell ref="CB100:CB101"/>
    <mergeCell ref="CC100:CC101"/>
    <mergeCell ref="CD100:CD101"/>
    <mergeCell ref="CE100:CE101"/>
    <mergeCell ref="CF100:CF101"/>
    <mergeCell ref="CG100:CG101"/>
    <mergeCell ref="BV73:BV82"/>
    <mergeCell ref="BR75:BR76"/>
    <mergeCell ref="BR73:BR74"/>
    <mergeCell ref="BO79:BO80"/>
    <mergeCell ref="BP79:BP80"/>
    <mergeCell ref="BQ79:BQ80"/>
    <mergeCell ref="CE89:CE90"/>
    <mergeCell ref="BY89:BY90"/>
    <mergeCell ref="BF79:BF80"/>
    <mergeCell ref="CE97:CE99"/>
    <mergeCell ref="CB150:CD150"/>
    <mergeCell ref="CB158:CD158"/>
    <mergeCell ref="U37:W37"/>
    <mergeCell ref="AE33:AF33"/>
    <mergeCell ref="D7:M7"/>
    <mergeCell ref="D8:L8"/>
    <mergeCell ref="D9:L9"/>
    <mergeCell ref="A1:AJ1"/>
    <mergeCell ref="BC1:BR1"/>
    <mergeCell ref="C65:H67"/>
    <mergeCell ref="C70:I72"/>
    <mergeCell ref="BR77:BR78"/>
    <mergeCell ref="BR79:BR80"/>
    <mergeCell ref="BC77:BC78"/>
    <mergeCell ref="BC79:BC80"/>
    <mergeCell ref="BD77:BD78"/>
    <mergeCell ref="BD79:BD80"/>
    <mergeCell ref="BE77:BE78"/>
    <mergeCell ref="BF77:BF78"/>
    <mergeCell ref="BG77:BG78"/>
    <mergeCell ref="BH77:BH78"/>
    <mergeCell ref="BI77:BI78"/>
    <mergeCell ref="BJ77:BJ78"/>
    <mergeCell ref="BK77:BK78"/>
    <mergeCell ref="BL77:BL78"/>
    <mergeCell ref="BM77:BM78"/>
    <mergeCell ref="BN77:BN78"/>
    <mergeCell ref="BO77:BO78"/>
    <mergeCell ref="BP77:BP78"/>
    <mergeCell ref="BQ77:BQ78"/>
  </mergeCells>
  <phoneticPr fontId="47" type="noConversion"/>
  <conditionalFormatting sqref="H47:I47">
    <cfRule type="expression" dxfId="20" priority="24">
      <formula>($H$47&lt;$H$49)</formula>
    </cfRule>
  </conditionalFormatting>
  <conditionalFormatting sqref="AN41 AN43:AZ51">
    <cfRule type="expression" dxfId="19" priority="609">
      <formula>$H$37&gt;1</formula>
    </cfRule>
  </conditionalFormatting>
  <conditionalFormatting sqref="AN51:AZ51">
    <cfRule type="expression" dxfId="18" priority="618">
      <formula>$H$37&gt;1</formula>
    </cfRule>
  </conditionalFormatting>
  <conditionalFormatting sqref="AN63:AZ63">
    <cfRule type="expression" dxfId="17" priority="619">
      <formula>$H$37&gt;2</formula>
    </cfRule>
  </conditionalFormatting>
  <conditionalFormatting sqref="H41:I41">
    <cfRule type="expression" dxfId="16" priority="624">
      <formula>OR(AND(H23="Width",$H$41&gt;$H$43),AND(H23="Length",H41&lt;H43))</formula>
    </cfRule>
  </conditionalFormatting>
  <conditionalFormatting sqref="AQ93:AZ93">
    <cfRule type="expression" dxfId="15" priority="634">
      <formula>$H$51="yes"</formula>
    </cfRule>
  </conditionalFormatting>
  <conditionalFormatting sqref="AQ33:AY33">
    <cfRule type="expression" dxfId="14" priority="635">
      <formula>$AT$33&gt;0</formula>
    </cfRule>
  </conditionalFormatting>
  <conditionalFormatting sqref="AS45:AY45 AZ49">
    <cfRule type="expression" dxfId="13" priority="641">
      <formula>$AT$45&gt;0</formula>
    </cfRule>
  </conditionalFormatting>
  <conditionalFormatting sqref="AU47:AV47 AX47:AY47 AS45:AY45 AR50:AY50 AZ49:AZ50">
    <cfRule type="expression" dxfId="12" priority="665">
      <formula>AND($H$37&gt;1,$AT$45&gt;0)</formula>
    </cfRule>
  </conditionalFormatting>
  <conditionalFormatting sqref="AV77">
    <cfRule type="expression" dxfId="11" priority="723">
      <formula>AND(J23=2,$AU$77&gt;$H$25)</formula>
    </cfRule>
  </conditionalFormatting>
  <conditionalFormatting sqref="AV79:AV81">
    <cfRule type="expression" dxfId="10" priority="753">
      <formula>AND(J23=1,$AU$79&gt;$H$25)</formula>
    </cfRule>
  </conditionalFormatting>
  <conditionalFormatting sqref="AN75:AZ75">
    <cfRule type="expression" dxfId="9" priority="5">
      <formula>$H$37&gt;3</formula>
    </cfRule>
  </conditionalFormatting>
  <conditionalFormatting sqref="AN65:AR65 AX74:AZ74 AQ73:AW74 AN71:AZ71 AN74:AP74 BA73:BA75 AN67:BA70">
    <cfRule type="expression" dxfId="8" priority="3">
      <formula>$H$37&gt;3</formula>
    </cfRule>
  </conditionalFormatting>
  <conditionalFormatting sqref="AN53:BA63">
    <cfRule type="expression" dxfId="7" priority="612">
      <formula>$H$37&gt;2</formula>
    </cfRule>
  </conditionalFormatting>
  <conditionalFormatting sqref="BA112 AR110 BA110">
    <cfRule type="expression" dxfId="6" priority="972">
      <formula>$J$109&gt;2</formula>
    </cfRule>
  </conditionalFormatting>
  <conditionalFormatting sqref="AV82">
    <cfRule type="expression" dxfId="5" priority="973">
      <formula>AND(J29=1,$AU$79&gt;$H$25)</formula>
    </cfRule>
  </conditionalFormatting>
  <conditionalFormatting sqref="H45:I45">
    <cfRule type="expression" dxfId="4" priority="979">
      <formula>$H$45&lt;$BX$131</formula>
    </cfRule>
  </conditionalFormatting>
  <conditionalFormatting sqref="H29:I29">
    <cfRule type="expression" dxfId="3" priority="980">
      <formula>$H$29&lt;$BX$120</formula>
    </cfRule>
  </conditionalFormatting>
  <conditionalFormatting sqref="H27">
    <cfRule type="expression" dxfId="2" priority="981">
      <formula>OR($H$27&lt;$BX$124,$H$27&gt;$BX$125)</formula>
    </cfRule>
  </conditionalFormatting>
  <conditionalFormatting sqref="H31">
    <cfRule type="expression" dxfId="1" priority="982">
      <formula>OR($H$31&lt;$BX$127,$H$31&gt;$BX$129)</formula>
    </cfRule>
  </conditionalFormatting>
  <conditionalFormatting sqref="H39:I39">
    <cfRule type="expression" dxfId="0" priority="983">
      <formula>$H$39&lt;$BZ$130</formula>
    </cfRule>
  </conditionalFormatting>
  <dataValidations count="5">
    <dataValidation type="list" allowBlank="1" showInputMessage="1" showErrorMessage="1" sqref="H57" xr:uid="{00000000-0002-0000-0000-000000000000}">
      <formula1>NY</formula1>
    </dataValidation>
    <dataValidation type="list" allowBlank="1" showInputMessage="1" showErrorMessage="1" sqref="J46:K46 H15:I15" xr:uid="{00000000-0002-0000-0000-000001000000}">
      <formula1>UnitSystem</formula1>
    </dataValidation>
    <dataValidation type="list" allowBlank="1" showInputMessage="1" showErrorMessage="1" sqref="H23:I23" xr:uid="{00000000-0002-0000-0000-000002000000}">
      <formula1>Constraint</formula1>
    </dataValidation>
    <dataValidation type="list" allowBlank="1" showInputMessage="1" showErrorMessage="1" sqref="H51" xr:uid="{00000000-0002-0000-0000-000003000000}">
      <formula1>YN</formula1>
    </dataValidation>
    <dataValidation type="list" allowBlank="1" showInputMessage="1" showErrorMessage="1" sqref="H19:I19" xr:uid="{00000000-0002-0000-0000-000004000000}">
      <formula1>AllSC</formula1>
    </dataValidation>
  </dataValidations>
  <hyperlinks>
    <hyperlink ref="W8:AG10" r:id="rId2" display="CLICK HERE   FOR DEIGN HELP OR TO REQUEST A LAYOUT" xr:uid="{AB23E3B9-08FC-4734-BDC0-5AAE4E75B61C}"/>
  </hyperlinks>
  <pageMargins left="0.25" right="0.25" top="0.75" bottom="0.75" header="0.3" footer="0.3"/>
  <pageSetup scale="44" fitToWidth="2" orientation="portrait" horizontalDpi="4294967293" verticalDpi="4294967293" r:id="rId3"/>
  <colBreaks count="1" manualBreakCount="1">
    <brk id="37" max="104" man="1"/>
  </colBreaks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AA127F-3889-4CA8-A2F4-17F373F9D983}">
  <dimension ref="A1:AP211"/>
  <sheetViews>
    <sheetView workbookViewId="0"/>
  </sheetViews>
  <sheetFormatPr defaultRowHeight="15" x14ac:dyDescent="0.25"/>
  <cols>
    <col min="1" max="1" width="6.42578125" style="8" customWidth="1"/>
    <col min="2" max="2" width="20.42578125" style="8" customWidth="1"/>
    <col min="3" max="3" width="13.28515625" style="8" customWidth="1"/>
    <col min="4" max="4" width="20.85546875" style="8" customWidth="1"/>
    <col min="5" max="5" width="19.140625" style="8" customWidth="1"/>
    <col min="6" max="6" width="11.42578125" style="8" customWidth="1"/>
    <col min="7" max="7" width="13.28515625" style="8" customWidth="1"/>
    <col min="8" max="8" width="12.85546875" style="8" customWidth="1"/>
    <col min="9" max="9" width="18.7109375" style="8" customWidth="1"/>
    <col min="10" max="10" width="19.140625" style="8" customWidth="1"/>
    <col min="11" max="11" width="12.42578125" style="8" customWidth="1"/>
    <col min="12" max="12" width="15.28515625" style="8" customWidth="1"/>
    <col min="13" max="13" width="1.42578125" style="8" customWidth="1"/>
    <col min="14" max="14" width="1.7109375" style="8" customWidth="1"/>
    <col min="15" max="15" width="24.42578125" style="8" customWidth="1"/>
    <col min="16" max="16" width="11.140625" style="8" customWidth="1"/>
    <col min="17" max="17" width="13" style="8" customWidth="1"/>
    <col min="18" max="19" width="13.5703125" style="8" customWidth="1"/>
    <col min="20" max="20" width="2" style="8" customWidth="1"/>
    <col min="21" max="21" width="24.7109375" style="8" customWidth="1"/>
    <col min="22" max="22" width="27.42578125" style="8" customWidth="1"/>
    <col min="23" max="24" width="23.140625" style="8" customWidth="1"/>
    <col min="25" max="25" width="15.7109375" style="8" customWidth="1"/>
    <col min="26" max="26" width="16.140625" style="8" customWidth="1"/>
    <col min="27" max="27" width="30.7109375" style="8" customWidth="1"/>
    <col min="28" max="28" width="24" style="8" customWidth="1"/>
    <col min="29" max="29" width="22" style="8" customWidth="1"/>
    <col min="30" max="30" width="17.7109375" style="8" customWidth="1"/>
    <col min="31" max="31" width="23" style="8" customWidth="1"/>
    <col min="36" max="36" width="13.42578125" customWidth="1"/>
    <col min="37" max="37" width="8.5703125" customWidth="1"/>
    <col min="38" max="38" width="12.42578125" customWidth="1"/>
  </cols>
  <sheetData>
    <row r="1" spans="1:42" ht="105" x14ac:dyDescent="0.25">
      <c r="A1" s="7"/>
      <c r="B1" s="7"/>
      <c r="C1" s="7"/>
      <c r="D1" s="9" t="s">
        <v>2</v>
      </c>
      <c r="E1" s="7"/>
      <c r="F1" s="7"/>
      <c r="G1" s="9"/>
      <c r="H1" s="9"/>
      <c r="I1" s="1" t="s">
        <v>3</v>
      </c>
      <c r="J1" s="1"/>
      <c r="K1" s="1"/>
      <c r="L1" s="1"/>
      <c r="M1" s="1"/>
      <c r="N1" s="1"/>
      <c r="O1" s="580" t="s">
        <v>4</v>
      </c>
      <c r="P1" s="580"/>
      <c r="Q1" s="580"/>
      <c r="R1" s="580"/>
      <c r="S1" s="580"/>
      <c r="T1" s="7"/>
      <c r="U1" s="7"/>
      <c r="V1" s="248" t="s">
        <v>5</v>
      </c>
      <c r="W1" s="249" t="s">
        <v>6</v>
      </c>
      <c r="X1" s="249" t="s">
        <v>7</v>
      </c>
      <c r="Y1" s="249" t="s">
        <v>8</v>
      </c>
      <c r="Z1" s="249" t="s">
        <v>9</v>
      </c>
      <c r="AA1" s="296" t="s">
        <v>10</v>
      </c>
      <c r="AB1" s="462" t="s">
        <v>11</v>
      </c>
      <c r="AC1" s="462"/>
      <c r="AD1" s="250"/>
      <c r="AE1" s="250"/>
    </row>
    <row r="2" spans="1:42" x14ac:dyDescent="0.25">
      <c r="A2" s="288"/>
      <c r="B2" s="288" t="e">
        <f>D7+D9</f>
        <v>#VALUE!</v>
      </c>
      <c r="C2" s="288"/>
      <c r="D2" s="288"/>
      <c r="E2" s="288"/>
      <c r="F2" s="288"/>
      <c r="G2" s="288"/>
      <c r="H2" s="288"/>
      <c r="I2" s="288"/>
      <c r="J2" s="113" t="s">
        <v>12</v>
      </c>
      <c r="K2" s="113"/>
      <c r="L2" s="113"/>
      <c r="O2" s="533" t="s">
        <v>13</v>
      </c>
      <c r="P2" s="533"/>
      <c r="Q2" s="533"/>
      <c r="R2" s="533"/>
      <c r="S2" s="533"/>
      <c r="V2" s="8" t="s">
        <v>14</v>
      </c>
      <c r="W2" s="297" t="e">
        <f>IF($H$23="Width",                IF(OR($H$37=1,$H$37=3),      1,     2),       IF(OR($H$37=1,$H$37=3),       2,    1))</f>
        <v>#REF!</v>
      </c>
      <c r="X2" s="297" t="e">
        <f>IF(#REF!="Width",          IF(OR(#REF!=2,#REF!=4),         1,       IF(#REF!=3,          2,         0)),       IF(OR(#REF!=2,#REF!=4),       2,        IF(#REF!=3,        1,       0)))</f>
        <v>#REF!</v>
      </c>
      <c r="Y2" s="297" t="e">
        <f>IF($H$23="Width",         IF($H$37=3,       1,        IF(#REF!=4,   2,    0)),        IF($H$37=3,       2,    IF(#REF!=4,   1,     0)))</f>
        <v>#REF!</v>
      </c>
      <c r="Z2" s="297" t="e">
        <f>IF($H$23="Width",         IF($H$37=4,       1,         0),        IF($H$37=4,       2,       0))</f>
        <v>#REF!</v>
      </c>
      <c r="AA2" s="297" t="e">
        <f>IF(AC2&gt;#REF!,1,2)</f>
        <v>#REF!</v>
      </c>
      <c r="AB2" s="463" t="e">
        <f>IF(#REF!=1,        AC32,        IF(#REF!=2,       AC96,      IF(#REF!=3,         AC150,             AC190)))</f>
        <v>#REF!</v>
      </c>
      <c r="AC2" s="463"/>
      <c r="AD2" s="297"/>
      <c r="AE2" s="297"/>
      <c r="AI2" t="s">
        <v>187</v>
      </c>
    </row>
    <row r="3" spans="1:42" x14ac:dyDescent="0.25">
      <c r="A3" s="288"/>
      <c r="B3" s="288" t="e">
        <f>G67-(((12*E61*E63)/1728)*0.4)</f>
        <v>#REF!</v>
      </c>
      <c r="C3" s="288"/>
      <c r="D3" s="288"/>
      <c r="E3" s="288"/>
      <c r="F3" s="288"/>
      <c r="G3" s="288"/>
      <c r="H3" s="288"/>
      <c r="I3" s="288"/>
      <c r="J3" s="288" t="e">
        <f>IF(OR(#REF!=1,#REF!=3),W2,X2)</f>
        <v>#REF!</v>
      </c>
      <c r="K3" s="288"/>
      <c r="L3" s="288"/>
      <c r="O3" s="534" t="s">
        <v>15</v>
      </c>
      <c r="P3" s="534"/>
      <c r="Q3" s="534"/>
      <c r="R3" s="534"/>
      <c r="S3" s="534"/>
      <c r="AD3" s="5"/>
      <c r="AE3" s="5"/>
      <c r="AJ3" t="s">
        <v>16</v>
      </c>
      <c r="AL3" t="s">
        <v>17</v>
      </c>
      <c r="AN3" s="439" t="s">
        <v>18</v>
      </c>
      <c r="AO3" s="439"/>
      <c r="AP3" s="439"/>
    </row>
    <row r="4" spans="1:42" ht="26.25" x14ac:dyDescent="0.25">
      <c r="A4" s="288"/>
      <c r="B4" s="542" t="s">
        <v>16</v>
      </c>
      <c r="C4" s="542"/>
      <c r="D4" s="542"/>
      <c r="E4" s="510" t="s">
        <v>17</v>
      </c>
      <c r="F4" s="510"/>
      <c r="G4" s="510"/>
      <c r="H4" s="510"/>
      <c r="I4" s="439" t="s">
        <v>18</v>
      </c>
      <c r="J4" s="439"/>
      <c r="K4" s="439"/>
      <c r="L4" s="114" t="s">
        <v>19</v>
      </c>
      <c r="M4" s="97"/>
      <c r="N4" s="97"/>
      <c r="O4" s="534" t="s">
        <v>20</v>
      </c>
      <c r="P4" s="534"/>
      <c r="Q4" s="534"/>
      <c r="R4" s="534"/>
      <c r="S4" s="534"/>
      <c r="T4" s="97"/>
      <c r="U4" s="512" t="s">
        <v>21</v>
      </c>
      <c r="V4" s="512"/>
      <c r="W4" s="512"/>
      <c r="X4" s="512"/>
      <c r="Y4" s="512"/>
      <c r="Z4" s="512"/>
      <c r="AA4" s="512"/>
      <c r="AB4" s="512"/>
      <c r="AC4" s="512"/>
      <c r="AD4" s="495"/>
      <c r="AE4" s="495"/>
      <c r="AJ4" t="s">
        <v>54</v>
      </c>
      <c r="AK4" t="s">
        <v>228</v>
      </c>
      <c r="AL4" t="s">
        <v>54</v>
      </c>
      <c r="AM4" t="s">
        <v>228</v>
      </c>
      <c r="AN4" t="s">
        <v>54</v>
      </c>
      <c r="AO4" t="s">
        <v>228</v>
      </c>
    </row>
    <row r="5" spans="1:42" ht="26.25" x14ac:dyDescent="0.25">
      <c r="A5" s="510"/>
      <c r="B5" s="514" t="s">
        <v>22</v>
      </c>
      <c r="C5" s="514"/>
      <c r="D5" s="160">
        <f>IF('StormChamber System Calculator'!$H$15="Imperial",_xlfn.XLOOKUP('StormChamber System Calculator'!$H$19,AI5:AI7,AJ5:AJ7),_xlfn.XLOOKUP('StormChamber System Calculator'!$H$19,AI5:AI7,AK5:AK7))</f>
        <v>89.8</v>
      </c>
      <c r="E5" s="509" t="s">
        <v>23</v>
      </c>
      <c r="F5" s="509"/>
      <c r="G5" s="509"/>
      <c r="H5" s="161" t="e">
        <f>IF(#REF!="Imperial",              IF(#REF!="SC-18",     101,             IF(#REF!="SC-44",            89.5,            IF(#REF!="SC-34E",           103,           101))),            IF(#REF!="SC-18",           2565.4,          IF(#REF!="SC-44",          2273.3,               IF(#REF!="SC-34E",          2616.2,         2565.4))))</f>
        <v>#REF!</v>
      </c>
      <c r="I5" s="514" t="s">
        <v>24</v>
      </c>
      <c r="J5" s="514"/>
      <c r="K5" s="162" t="e">
        <f>C65</f>
        <v>#REF!</v>
      </c>
      <c r="L5" s="163" t="s">
        <v>25</v>
      </c>
      <c r="M5" s="97"/>
      <c r="N5" s="97"/>
      <c r="O5" s="534" t="s">
        <v>26</v>
      </c>
      <c r="P5" s="534"/>
      <c r="Q5" s="534"/>
      <c r="R5" s="534"/>
      <c r="S5" s="534"/>
      <c r="T5" s="97"/>
      <c r="U5" s="512"/>
      <c r="V5" s="512"/>
      <c r="W5" s="512"/>
      <c r="X5" s="512"/>
      <c r="Y5" s="512"/>
      <c r="Z5" s="512"/>
      <c r="AA5" s="512"/>
      <c r="AB5" s="512"/>
      <c r="AC5" s="512"/>
      <c r="AD5" s="495"/>
      <c r="AE5" s="495"/>
      <c r="AI5" t="s">
        <v>63</v>
      </c>
      <c r="AJ5">
        <v>101</v>
      </c>
      <c r="AK5">
        <v>2565.4</v>
      </c>
      <c r="AL5">
        <v>101</v>
      </c>
      <c r="AM5">
        <v>2565.4</v>
      </c>
    </row>
    <row r="6" spans="1:42" ht="15.75" x14ac:dyDescent="0.25">
      <c r="A6" s="510"/>
      <c r="B6" s="284"/>
      <c r="C6" s="284"/>
      <c r="D6" s="164"/>
      <c r="E6" s="285"/>
      <c r="F6" s="285"/>
      <c r="G6" s="285"/>
      <c r="H6" s="165"/>
      <c r="I6" s="284"/>
      <c r="J6" s="284"/>
      <c r="K6" s="162"/>
      <c r="L6" s="163"/>
      <c r="M6" s="99"/>
      <c r="N6" s="99"/>
      <c r="O6" s="99"/>
      <c r="P6" s="99"/>
      <c r="Q6" s="99"/>
      <c r="R6" s="99"/>
      <c r="U6" s="519" t="s">
        <v>29</v>
      </c>
      <c r="V6" s="519"/>
      <c r="W6" s="519"/>
      <c r="X6" s="519"/>
      <c r="Y6" s="519"/>
      <c r="Z6" s="519"/>
      <c r="AA6" s="519"/>
      <c r="AB6" s="519"/>
      <c r="AC6" s="519"/>
      <c r="AD6" s="495"/>
      <c r="AE6" s="495"/>
      <c r="AI6" t="s">
        <v>229</v>
      </c>
      <c r="AJ6">
        <v>103</v>
      </c>
      <c r="AK6">
        <v>2616.1999999999998</v>
      </c>
      <c r="AL6">
        <v>103</v>
      </c>
      <c r="AM6">
        <v>2616.1999999999998</v>
      </c>
    </row>
    <row r="7" spans="1:42" ht="18.75" x14ac:dyDescent="0.3">
      <c r="A7" s="510"/>
      <c r="B7" s="284" t="s">
        <v>31</v>
      </c>
      <c r="C7" s="284"/>
      <c r="D7" s="160">
        <f>IF('StormChamber System Calculator'!$H$15="Imperial",_xlfn.XLOOKUP('StormChamber System Calculator'!$H$19,AI13:AI15,AJ13:AJ15),_xlfn.XLOOKUP('StormChamber System Calculator'!$H$19,AI7:AI9,AK13:AK15))</f>
        <v>112.19</v>
      </c>
      <c r="E7" s="509" t="s">
        <v>32</v>
      </c>
      <c r="F7" s="509"/>
      <c r="G7" s="509"/>
      <c r="H7" s="161">
        <f>D7*2</f>
        <v>224.38</v>
      </c>
      <c r="I7" s="514" t="s">
        <v>32</v>
      </c>
      <c r="J7" s="514"/>
      <c r="K7" s="162" t="e">
        <f>C67*2</f>
        <v>#REF!</v>
      </c>
      <c r="L7" s="163" t="e">
        <f>IF(#REF!="Imperial",           (((E61*(E63)*(D5+#REF!))/1728)-D7)*(#REF!/100),                    (((E61*(E63)*(D5+#REF!))/1000000000)-D7)*(#REF!/100))</f>
        <v>#REF!</v>
      </c>
      <c r="M7" s="100"/>
      <c r="N7" s="100"/>
      <c r="O7" s="535" t="s">
        <v>33</v>
      </c>
      <c r="P7" s="535"/>
      <c r="Q7" s="535"/>
      <c r="R7" s="535"/>
      <c r="S7" s="535"/>
      <c r="T7" s="100"/>
      <c r="U7" s="519"/>
      <c r="V7" s="519"/>
      <c r="W7" s="519"/>
      <c r="X7" s="519"/>
      <c r="Y7" s="519"/>
      <c r="Z7" s="519"/>
      <c r="AA7" s="519"/>
      <c r="AB7" s="519"/>
      <c r="AC7" s="519"/>
      <c r="AD7" s="493" t="s">
        <v>34</v>
      </c>
      <c r="AE7" s="493" t="s">
        <v>35</v>
      </c>
      <c r="AI7" t="s">
        <v>231</v>
      </c>
      <c r="AJ7">
        <v>89.8</v>
      </c>
      <c r="AK7">
        <v>2273.3000000000002</v>
      </c>
      <c r="AL7">
        <v>89.5</v>
      </c>
      <c r="AM7">
        <v>2273.3000000000002</v>
      </c>
    </row>
    <row r="8" spans="1:42" x14ac:dyDescent="0.25">
      <c r="A8" s="510"/>
      <c r="B8" s="164"/>
      <c r="C8" s="164"/>
      <c r="D8" s="164"/>
      <c r="E8" s="180"/>
      <c r="F8" s="180"/>
      <c r="G8" s="180"/>
      <c r="H8" s="180"/>
      <c r="I8" s="164"/>
      <c r="J8" s="164"/>
      <c r="K8" s="164"/>
      <c r="L8" s="181"/>
      <c r="M8" s="17"/>
      <c r="N8" s="99"/>
      <c r="O8" s="535"/>
      <c r="P8" s="535"/>
      <c r="Q8" s="535"/>
      <c r="R8" s="535"/>
      <c r="S8" s="535"/>
      <c r="T8" s="99"/>
      <c r="U8" s="494" t="str">
        <f>IF($H$15="Imperial",       "Required Cubic Feet",       "Required Cubic Meters")</f>
        <v>Required Cubic Meters</v>
      </c>
      <c r="V8" s="494" t="str">
        <f>IF($H$15="Imperial",       "Required Cubic Inches",       "Required Cubic mm")</f>
        <v>Required Cubic mm</v>
      </c>
      <c r="W8" s="494" t="e">
        <f>IF(W2=1,       "Constraint Dimension (Width)",       "Constraint Dimension (Length)")</f>
        <v>#REF!</v>
      </c>
      <c r="X8" s="494" t="e">
        <f>IF(W2=1,       "(Constraint Width-2endR Width)/midR Width",       "(Constriant Length-2endC length)/midC length")</f>
        <v>#REF!</v>
      </c>
      <c r="Y8" s="494"/>
      <c r="Z8" s="494" t="e">
        <f>IF(W2=1,       "RoundDown for Maximum Number of midR",       "RoundDown for Maximum Number of midCs per Row")</f>
        <v>#REF!</v>
      </c>
      <c r="AA8" s="494"/>
      <c r="AB8" s="494" t="e">
        <f>IF(W2=1,       "Max suggested Number of Rows by constraint",      "Maximum Number of Chambers per Row")</f>
        <v>#REF!</v>
      </c>
      <c r="AC8" s="494" t="e">
        <f>IF(#REF!&lt;3,     0,             IF(W2=1,       "Max suggested Number of Rows by storage",      "Maximum Number of Chambers per Row"))</f>
        <v>#REF!</v>
      </c>
      <c r="AD8" s="493"/>
      <c r="AE8" s="493"/>
    </row>
    <row r="9" spans="1:42" ht="15.75" x14ac:dyDescent="0.25">
      <c r="A9" s="510" t="s">
        <v>39</v>
      </c>
      <c r="B9" s="509" t="s">
        <v>25</v>
      </c>
      <c r="C9" s="509"/>
      <c r="D9" s="168" t="s">
        <v>245</v>
      </c>
      <c r="E9" s="509" t="s">
        <v>25</v>
      </c>
      <c r="F9" s="509"/>
      <c r="G9" s="509"/>
      <c r="H9" s="166" t="e">
        <f>2*D9</f>
        <v>#VALUE!</v>
      </c>
      <c r="I9" s="167" t="s">
        <v>40</v>
      </c>
      <c r="J9" s="168"/>
      <c r="K9" s="166" t="e">
        <f>2*D67</f>
        <v>#REF!</v>
      </c>
      <c r="L9" s="163" t="s">
        <v>41</v>
      </c>
      <c r="M9" s="17"/>
      <c r="N9" s="99"/>
      <c r="O9" s="262" t="str">
        <f>IF($H$15="Imperial",          "Imperial (inches and ft)",          "Metric (mm and meters)")</f>
        <v>Metric (mm and meters)</v>
      </c>
      <c r="P9" s="513" t="e">
        <f>IF($H$23="Width",         "by system width",         "by system length")</f>
        <v>#REF!</v>
      </c>
      <c r="Q9" s="513"/>
      <c r="R9" s="513"/>
      <c r="S9" s="513"/>
      <c r="T9" s="101"/>
      <c r="U9" s="494"/>
      <c r="V9" s="494"/>
      <c r="W9" s="494"/>
      <c r="X9" s="494"/>
      <c r="Y9" s="494"/>
      <c r="Z9" s="494"/>
      <c r="AA9" s="494"/>
      <c r="AB9" s="494"/>
      <c r="AC9" s="494"/>
      <c r="AD9" s="493"/>
      <c r="AE9" s="493"/>
    </row>
    <row r="10" spans="1:42" ht="15.75" x14ac:dyDescent="0.25">
      <c r="A10" s="510"/>
      <c r="B10" s="169"/>
      <c r="C10" s="168"/>
      <c r="D10" s="166"/>
      <c r="E10" s="284"/>
      <c r="F10" s="170"/>
      <c r="G10" s="171"/>
      <c r="H10" s="166"/>
      <c r="I10" s="169"/>
      <c r="J10" s="168"/>
      <c r="K10" s="166"/>
      <c r="L10" s="172"/>
      <c r="M10" s="17"/>
      <c r="N10" s="18"/>
      <c r="O10" s="536" t="s">
        <v>42</v>
      </c>
      <c r="P10" s="508" t="s">
        <v>43</v>
      </c>
      <c r="Q10" s="501" t="s">
        <v>44</v>
      </c>
      <c r="R10" s="501" t="s">
        <v>45</v>
      </c>
      <c r="S10" s="501" t="s">
        <v>46</v>
      </c>
      <c r="T10" s="102"/>
      <c r="U10" s="494"/>
      <c r="V10" s="494"/>
      <c r="W10" s="494"/>
      <c r="X10" s="494"/>
      <c r="Y10" s="494"/>
      <c r="Z10" s="494"/>
      <c r="AA10" s="494"/>
      <c r="AB10" s="494"/>
      <c r="AC10" s="494"/>
      <c r="AD10" s="499" t="e">
        <f>IF(W2=1,        IF(#REF!="Imperial",        IF(AB12=1,        (D63+#REF!-(#REF!/2))/12,      ((2*D63)+((AB12-2)*E63))/12),     IF(AB12=1,         (D63+#REF!-(#REF!/2))/1000,      ((2*D63)+((AB12-2)*E63))/1000)),                        IF(#REF!="Imperial",       IF(Y20=1,         (D63+#REF!-(#REF!/2))/12,      ((2*D63)+((Y20-2)*E63))/12),                IF(Y20=1,          (D63+#REF!-(#REF!/2))/1000,      ((2*D63)+((Y20-2)*E63))/1000)))</f>
        <v>#REF!</v>
      </c>
      <c r="AE10" s="499" t="e">
        <f>IF(W2=1,   "N/A",   IF(#REF!="Imperial",      IF(AB12=1,    (D5+#REF!+#REF!)/12,      ((2*D65)+((AB12-2)*I65))/12),         IF(AB12=1,     (D5+#REF!+#REF!)/1000,      ((2*D65)+((AB12-2)*I65))/1000)))</f>
        <v>#REF!</v>
      </c>
      <c r="AI10" t="s">
        <v>232</v>
      </c>
    </row>
    <row r="11" spans="1:42" ht="15.75" x14ac:dyDescent="0.25">
      <c r="A11" s="510"/>
      <c r="B11" s="169" t="s">
        <v>47</v>
      </c>
      <c r="C11" s="168"/>
      <c r="D11" s="166" t="e">
        <f>IF(#REF!="Imperial",                                        (((D63*#REF!*D61)/1728)*(#REF!/100))+((((#REF!-(#REF!/2))*(D5+#REF!+#REF!)*D61)/1728)*(#REF!/100)),                                                                                                                                                 (((D63*#REF!*D61)/1000000000)*(#REF!/100))+((((#REF!-(#REF!/2))*(D5+#REF!+#REF!)*D61)/1000000000)*(#REF!/100)))</f>
        <v>#REF!</v>
      </c>
      <c r="E11" s="514" t="s">
        <v>47</v>
      </c>
      <c r="F11" s="514"/>
      <c r="G11" s="514"/>
      <c r="H11" s="166" t="e">
        <f>IF(#REF!="Imperial",         2*(((D61*D63*#REF!)/1728)*(#REF!/100)),         2*(((D61*D63*#REF!)/1000000000)*(#REF!/100)))</f>
        <v>#REF!</v>
      </c>
      <c r="I11" s="169" t="s">
        <v>47</v>
      </c>
      <c r="J11" s="168"/>
      <c r="K11" s="166" t="e">
        <f>IF(#REF!="Imperial",          2*(((D61*(#REF!-(#REF!/2))*(C65+#REF!))/1728)*(#REF!/100)),                2*(((D61*(#REF!-(#REF!/2))*(C65+#REF!))/1000000000)*(#REF!/100)))</f>
        <v>#REF!</v>
      </c>
      <c r="L11" s="163" t="e">
        <f>IF(#REF!="Imperial",                (((E61*(E63)*#REF!)/1728)*(#REF!/100)),                     (((E61*(E63)*#REF!)/1000000000)*(#REF!/100)))</f>
        <v>#REF!</v>
      </c>
      <c r="M11" s="17"/>
      <c r="N11" s="18"/>
      <c r="O11" s="536"/>
      <c r="P11" s="508"/>
      <c r="Q11" s="501"/>
      <c r="R11" s="501"/>
      <c r="S11" s="501"/>
      <c r="T11" s="98"/>
      <c r="U11" s="494"/>
      <c r="V11" s="494"/>
      <c r="W11" s="494"/>
      <c r="X11" s="494"/>
      <c r="Y11" s="494"/>
      <c r="Z11" s="494"/>
      <c r="AA11" s="494"/>
      <c r="AB11" s="494"/>
      <c r="AC11" s="494"/>
      <c r="AD11" s="499"/>
      <c r="AE11" s="499"/>
      <c r="AJ11" t="s">
        <v>16</v>
      </c>
      <c r="AL11" t="s">
        <v>17</v>
      </c>
      <c r="AN11" s="439" t="s">
        <v>18</v>
      </c>
      <c r="AO11" s="439"/>
      <c r="AP11" s="439"/>
    </row>
    <row r="12" spans="1:42" ht="15.75" x14ac:dyDescent="0.25">
      <c r="A12" s="510"/>
      <c r="B12" s="168"/>
      <c r="C12" s="168"/>
      <c r="D12" s="166"/>
      <c r="E12" s="168"/>
      <c r="F12" s="173"/>
      <c r="G12" s="168"/>
      <c r="H12" s="166"/>
      <c r="I12" s="168"/>
      <c r="J12" s="168"/>
      <c r="K12" s="166"/>
      <c r="L12" s="163"/>
      <c r="M12" s="9"/>
      <c r="N12" s="18"/>
      <c r="O12" s="536"/>
      <c r="P12" s="508"/>
      <c r="Q12" s="501"/>
      <c r="R12" s="501"/>
      <c r="S12" s="501"/>
      <c r="U12" s="495" t="e">
        <f>IF((#REF!-S97-S153-S193)&lt;=0,       0,          IF($H$37=1,       $H$17,           IF($H$37=2,      $H$17-S97,          IF($H$37=3,       $H$17-S97-S153,    IF(#REF!=4,#REF!-     S97-S153-S193,    0)))))</f>
        <v>#REF!</v>
      </c>
      <c r="V12" s="502" t="e">
        <f>IF($H$15="Imperial",         U12*1728,        U12*1000000000)</f>
        <v>#REF!</v>
      </c>
      <c r="W12" s="495" t="e">
        <f>IF(#REF!=1,#REF!,        IF(#REF!=    2,         IF(W2=1,        S98,        S99),      IF(#REF!=3,         IF(W2=1,        S155,       S154),         IF(W2=1,       S194,        S195))))</f>
        <v>#REF!</v>
      </c>
      <c r="X12" s="495" t="e">
        <f>IF($H$15="Imperial",                    IF(W2=1,              ((W12*12)-(2*D63))/E63,                                    ((W12*12)-(2*D65))/I65),                                                                                                                                                                            IF(W2=1,                                                                                                                     ((W12*1000)-(2*D63))/E63,                                ((W12*1000)-(2*D65))/I65))</f>
        <v>#REF!</v>
      </c>
      <c r="Y12" s="495"/>
      <c r="Z12" s="495" t="e">
        <f>IF(X12&lt;0,      0,      IF(W2=1,     IF(U12&lt;=H13,    0,      IF((ROUNDUP(((U12-H13)/L15),0)&lt;(ROUNDDOWN(X12,0))),     ROUNDUP((U12-H13)/L15,0),      ROUNDDOWN(X12,0))),    ROUNDDOWN(X12,0)))</f>
        <v>#REF!</v>
      </c>
      <c r="AA12" s="495"/>
      <c r="AB12" s="495" t="e">
        <f>IF(U12&lt;=D13,     1,       IF(#REF!="Imperial",             IF(W2=1,         IF(W12&lt;(((2*D63)/12)),      1,     Z12+2),           IF(W12&lt;(((2*D65)/12)),      1,    Z12+2)),                                                                                       IF(W2=1,         IF(W12&lt;(((2*D63)/1000)),      1,     Z12+2),           IF(W12&lt;(((2*D65)/1000)),      1,    Z12+2))))</f>
        <v>#REF!</v>
      </c>
      <c r="AC12" s="495" t="e">
        <f>IF(U12&lt;=D13,     1,          IF(W2=1,           IF(U12&lt;=H13,       2,          (ROUNDUP(((U12-H13)/L15),0))+2),            IF(U12&lt;=K13,              2,                IF(#REF!="Imperial",                                                                               (ROUNDUP(((U12-K13)/(K67+(((I61*(#REF!-(#REF!/2))*I65)/1728)*(#REF!/100)))),0))+2,        (ROUNDUP(((U12-K13)/(K67+(((I61*(#REF!-(#REF!/2))*I65)/1000000000)*(#REF!/100)))),0))+2))))</f>
        <v>#REF!</v>
      </c>
      <c r="AD12" s="497"/>
      <c r="AE12" s="497"/>
      <c r="AJ12" t="s">
        <v>54</v>
      </c>
      <c r="AK12" t="s">
        <v>228</v>
      </c>
      <c r="AL12" t="s">
        <v>54</v>
      </c>
      <c r="AM12" t="s">
        <v>228</v>
      </c>
      <c r="AN12" t="s">
        <v>54</v>
      </c>
      <c r="AO12" t="s">
        <v>228</v>
      </c>
    </row>
    <row r="13" spans="1:42" ht="42" x14ac:dyDescent="0.35">
      <c r="A13" s="510"/>
      <c r="B13" s="541" t="s">
        <v>50</v>
      </c>
      <c r="C13" s="541"/>
      <c r="D13" s="253" t="e">
        <f>D9+D11+D7</f>
        <v>#VALUE!</v>
      </c>
      <c r="E13" s="541" t="s">
        <v>50</v>
      </c>
      <c r="F13" s="541"/>
      <c r="G13" s="541"/>
      <c r="H13" s="253" t="e">
        <f>H9+H11+H7</f>
        <v>#VALUE!</v>
      </c>
      <c r="I13" s="541" t="s">
        <v>50</v>
      </c>
      <c r="J13" s="541"/>
      <c r="K13" s="253" t="e">
        <f>K9+K11+K7</f>
        <v>#REF!</v>
      </c>
      <c r="L13" s="254" t="s">
        <v>50</v>
      </c>
      <c r="M13" s="255"/>
      <c r="N13" s="252"/>
      <c r="O13" s="536"/>
      <c r="P13" s="256" t="e">
        <f>IF(U12=0,      0,           IF(X57=1,       IF(X65=1,     1,      2),    IF(X61=0,          IF(X65=1,         2,         4),           IF(X59=1,           IF(X63=1,          3,          4),       4))))</f>
        <v>#REF!</v>
      </c>
      <c r="Q13" s="256" t="e">
        <f>IF(P13=1,                                D9+D11,                                     IF(P13=2,                                     IF(S33=1,                                   K9+K11,                                    H9+H11),                                                                                                   IF(P13=3,                        IF(#REF!="Imperial",                    H9+D9+(((D61*(D5+#REF!)*(#REF!-(#REF!/2)))/1728)*(#REF!/100))+(((D61*(D63-#REF!)*#REF!)/1728)*(#REF!/100)),                                                                                                       H9+D9+(((D61*(D5+#REF!)*(#REF!-(#REF!/2)))/1000000000)*(#REF!/100))+(((D61*(D63-#REF!)*#REF!)/1000000000)*(#REF!/100))),                   D67*4)))</f>
        <v>#REF!</v>
      </c>
      <c r="R13" s="256" t="e">
        <f>IF(P13=1,                 D7,                IF(P13=2,               IF(S33=1,            K7,             H7),          IF(P13=3,         (2*C67)+D7,             4*C67)))</f>
        <v>#REF!</v>
      </c>
      <c r="S13" s="256" t="e">
        <f>Q13+R13</f>
        <v>#REF!</v>
      </c>
      <c r="T13" s="251"/>
      <c r="U13" s="495"/>
      <c r="V13" s="502"/>
      <c r="W13" s="495"/>
      <c r="X13" s="495"/>
      <c r="Y13" s="495"/>
      <c r="Z13" s="495"/>
      <c r="AA13" s="495"/>
      <c r="AB13" s="495"/>
      <c r="AC13" s="495"/>
      <c r="AD13" s="497"/>
      <c r="AE13" s="497"/>
      <c r="AI13" t="s">
        <v>63</v>
      </c>
      <c r="AJ13">
        <v>23.64</v>
      </c>
      <c r="AK13">
        <v>0.67</v>
      </c>
      <c r="AL13" s="343"/>
      <c r="AM13" s="343"/>
      <c r="AN13" s="343"/>
      <c r="AO13" s="343"/>
    </row>
    <row r="14" spans="1:42" x14ac:dyDescent="0.25">
      <c r="A14" s="498"/>
      <c r="B14" s="498"/>
      <c r="C14" s="498"/>
      <c r="D14" s="498"/>
      <c r="E14" s="498"/>
      <c r="F14" s="498"/>
      <c r="G14" s="498"/>
      <c r="H14" s="498"/>
      <c r="I14" s="498"/>
      <c r="J14" s="498"/>
      <c r="K14" s="498"/>
      <c r="L14" s="114"/>
      <c r="M14" s="9"/>
      <c r="N14" s="18"/>
      <c r="O14" s="501" t="s">
        <v>51</v>
      </c>
      <c r="P14" s="508" t="s">
        <v>43</v>
      </c>
      <c r="Q14" s="501" t="s">
        <v>44</v>
      </c>
      <c r="R14" s="501" t="s">
        <v>45</v>
      </c>
      <c r="S14" s="501" t="s">
        <v>46</v>
      </c>
      <c r="U14" s="493" t="s">
        <v>52</v>
      </c>
      <c r="V14" s="493"/>
      <c r="W14" s="493"/>
      <c r="X14" s="493"/>
      <c r="Y14" s="493"/>
      <c r="Z14" s="493"/>
      <c r="AA14" s="493"/>
      <c r="AB14" s="493"/>
      <c r="AC14" s="132"/>
      <c r="AD14" s="497"/>
      <c r="AE14" s="497"/>
      <c r="AI14" t="s">
        <v>229</v>
      </c>
      <c r="AJ14">
        <v>82.4</v>
      </c>
      <c r="AK14">
        <v>2.33</v>
      </c>
      <c r="AL14" s="343"/>
      <c r="AM14" s="343"/>
      <c r="AN14" s="343"/>
      <c r="AO14" s="343"/>
    </row>
    <row r="15" spans="1:42" x14ac:dyDescent="0.25">
      <c r="A15" s="498"/>
      <c r="B15" s="498"/>
      <c r="C15" s="498"/>
      <c r="D15" s="498"/>
      <c r="E15" s="498"/>
      <c r="F15" s="498"/>
      <c r="G15" s="498"/>
      <c r="H15" s="498"/>
      <c r="I15" s="498"/>
      <c r="J15" s="498"/>
      <c r="K15" s="498"/>
      <c r="L15" s="114" t="e">
        <f>L7+L11+D7</f>
        <v>#REF!</v>
      </c>
      <c r="M15" s="9"/>
      <c r="N15" s="18"/>
      <c r="O15" s="501"/>
      <c r="P15" s="508"/>
      <c r="Q15" s="501"/>
      <c r="R15" s="501"/>
      <c r="S15" s="501"/>
      <c r="U15" s="493"/>
      <c r="V15" s="493"/>
      <c r="W15" s="493"/>
      <c r="X15" s="493"/>
      <c r="Y15" s="493"/>
      <c r="Z15" s="493"/>
      <c r="AA15" s="493"/>
      <c r="AB15" s="493"/>
      <c r="AC15" s="493"/>
      <c r="AD15" s="497"/>
      <c r="AE15" s="497"/>
      <c r="AI15" t="s">
        <v>231</v>
      </c>
      <c r="AJ15">
        <v>112.19</v>
      </c>
      <c r="AK15">
        <v>3.18</v>
      </c>
      <c r="AL15" s="343"/>
      <c r="AM15" s="343"/>
      <c r="AN15" s="343"/>
      <c r="AO15" s="343"/>
    </row>
    <row r="16" spans="1:42" x14ac:dyDescent="0.25">
      <c r="A16" s="123"/>
      <c r="B16" s="123"/>
      <c r="C16" s="123"/>
      <c r="D16" s="123"/>
      <c r="E16" s="123"/>
      <c r="F16" s="123"/>
      <c r="G16" s="123"/>
      <c r="H16" s="123"/>
      <c r="I16" s="124"/>
      <c r="J16" s="124"/>
      <c r="K16" s="124"/>
      <c r="L16" s="114"/>
      <c r="M16" s="9"/>
      <c r="N16" s="18"/>
      <c r="O16" s="501"/>
      <c r="P16" s="508"/>
      <c r="Q16" s="501"/>
      <c r="R16" s="501"/>
      <c r="S16" s="501"/>
      <c r="U16" s="494" t="e">
        <f>IF(W2=1,    "",      "number of endCs per fullR*endRendCvolumes")</f>
        <v>#REF!</v>
      </c>
      <c r="V16" s="494" t="e">
        <f>IF(W2=1,       "",      "Max number of midC per fullR*endRmidC Volume")</f>
        <v>#REF!</v>
      </c>
      <c r="W16" s="494"/>
      <c r="X16" s="494" t="e">
        <f>IF(W2=1,     "",      "Number of End Rows")</f>
        <v>#REF!</v>
      </c>
      <c r="Y16" s="494" t="e">
        <f>IF(W2=1,        "",     "min number of rows suggested")</f>
        <v>#REF!</v>
      </c>
      <c r="Z16" s="494"/>
      <c r="AA16" s="493" t="s">
        <v>56</v>
      </c>
      <c r="AB16" s="493"/>
      <c r="AC16" s="493"/>
      <c r="AD16" s="497"/>
      <c r="AE16" s="497"/>
    </row>
    <row r="17" spans="1:31" x14ac:dyDescent="0.25">
      <c r="A17" s="501" t="s">
        <v>59</v>
      </c>
      <c r="B17" s="508" t="s">
        <v>16</v>
      </c>
      <c r="C17" s="508"/>
      <c r="D17" s="508"/>
      <c r="E17" s="510" t="s">
        <v>60</v>
      </c>
      <c r="F17" s="510"/>
      <c r="G17" s="510"/>
      <c r="H17" s="510"/>
      <c r="I17" s="439" t="s">
        <v>18</v>
      </c>
      <c r="J17" s="439"/>
      <c r="K17" s="439"/>
      <c r="L17" s="114" t="s">
        <v>19</v>
      </c>
      <c r="M17" s="106"/>
      <c r="N17" s="18"/>
      <c r="O17" s="501"/>
      <c r="P17" s="139" t="e">
        <f>IF(X65&lt;=2,     0,      IF(X57=1,        X34,          IF(X59=0,              2*X34,           IF(X59=1,       IF(X63&lt;=2,            X34,                 X34+U54),            2*X34))))</f>
        <v>#REF!</v>
      </c>
      <c r="Q17" s="139" t="e">
        <f>P17*I67</f>
        <v>#REF!</v>
      </c>
      <c r="R17" s="140" t="e">
        <f>P17*H67</f>
        <v>#REF!</v>
      </c>
      <c r="S17" s="140" t="e">
        <f>IF(S33=1,   IF(#REF!="Imperial",   (Q17+R17)+(P17*(((I61*(#REF!-(#REF!/2))*I65)/1728)*(#REF!/100))),   (Q17+R17)+(P17*(((I61*(#REF!-(#REF!/2))*I65)/1000000000)*(#REF!/100)))),   Q17+R17)</f>
        <v>#REF!</v>
      </c>
      <c r="U17" s="494"/>
      <c r="V17" s="494"/>
      <c r="W17" s="494"/>
      <c r="X17" s="494"/>
      <c r="Y17" s="494"/>
      <c r="Z17" s="494"/>
      <c r="AA17" s="493"/>
      <c r="AB17" s="493"/>
      <c r="AC17" s="493"/>
      <c r="AD17" s="497"/>
      <c r="AE17" s="497"/>
    </row>
    <row r="18" spans="1:31" x14ac:dyDescent="0.25">
      <c r="A18" s="501"/>
      <c r="B18" s="508"/>
      <c r="C18" s="508"/>
      <c r="D18" s="508"/>
      <c r="E18" s="123"/>
      <c r="F18" s="123"/>
      <c r="G18" s="123"/>
      <c r="H18" s="123"/>
      <c r="I18" s="124"/>
      <c r="J18" s="124"/>
      <c r="K18" s="124"/>
      <c r="L18" s="114" t="s">
        <v>25</v>
      </c>
      <c r="M18" s="95"/>
      <c r="N18" s="18"/>
      <c r="O18" s="501" t="s">
        <v>61</v>
      </c>
      <c r="P18" s="508" t="s">
        <v>43</v>
      </c>
      <c r="Q18" s="501" t="s">
        <v>44</v>
      </c>
      <c r="R18" s="501" t="s">
        <v>45</v>
      </c>
      <c r="S18" s="501" t="s">
        <v>46</v>
      </c>
      <c r="U18" s="494"/>
      <c r="V18" s="494"/>
      <c r="W18" s="494"/>
      <c r="X18" s="494"/>
      <c r="Y18" s="494"/>
      <c r="Z18" s="494"/>
      <c r="AA18" s="493"/>
      <c r="AB18" s="493"/>
      <c r="AC18" s="493"/>
      <c r="AD18" s="497"/>
      <c r="AE18" s="497"/>
    </row>
    <row r="19" spans="1:31" ht="15.75" x14ac:dyDescent="0.25">
      <c r="A19" s="501"/>
      <c r="B19" s="507" t="s">
        <v>65</v>
      </c>
      <c r="C19" s="507"/>
      <c r="D19" s="115" t="e">
        <f>IF(#REF!="Imperial",             (((((D5+#REF!)*(C77+#REF!+(#REF!/2))*D75)/1728)-D7)*(#REF!/100)),                    (((((D5+#REF!)*(C77+#REF!+(#REF!/2))*D75)/1000000000)-D7)*(#REF!/100)))</f>
        <v>#REF!</v>
      </c>
      <c r="E19" s="507" t="s">
        <v>65</v>
      </c>
      <c r="F19" s="507"/>
      <c r="G19" s="507"/>
      <c r="H19" s="115" t="e">
        <f>2*D19</f>
        <v>#REF!</v>
      </c>
      <c r="I19" s="116" t="s">
        <v>65</v>
      </c>
      <c r="J19" s="117"/>
      <c r="K19" s="115" t="e">
        <f>2*F81</f>
        <v>#REF!</v>
      </c>
      <c r="L19" s="114" t="e">
        <f>IF(#REF!="Imperial",           (((E75*(E77)*(D5+#REF!))/1728)-D7)*(#REF!/100),                    (((E75*(E77)*(D5+#REF!))/1000000000)-D7)*(#REF!/100))</f>
        <v>#REF!</v>
      </c>
      <c r="M19" s="18"/>
      <c r="N19" s="18"/>
      <c r="O19" s="501"/>
      <c r="P19" s="508"/>
      <c r="Q19" s="501"/>
      <c r="R19" s="501"/>
      <c r="S19" s="501"/>
      <c r="U19" s="494"/>
      <c r="V19" s="494"/>
      <c r="W19" s="494"/>
      <c r="X19" s="494"/>
      <c r="Y19" s="494"/>
      <c r="Z19" s="494"/>
      <c r="AA19" s="493"/>
      <c r="AB19" s="493"/>
      <c r="AC19" s="493"/>
      <c r="AD19" s="497"/>
      <c r="AE19" s="497"/>
    </row>
    <row r="20" spans="1:31" ht="15.75" x14ac:dyDescent="0.25">
      <c r="A20" s="501"/>
      <c r="B20" s="118"/>
      <c r="C20" s="117"/>
      <c r="D20" s="115"/>
      <c r="E20" s="274"/>
      <c r="F20" s="119"/>
      <c r="G20" s="120"/>
      <c r="H20" s="115"/>
      <c r="I20" s="118"/>
      <c r="J20" s="117"/>
      <c r="K20" s="115"/>
      <c r="L20" s="114"/>
      <c r="M20" s="18"/>
      <c r="N20" s="18"/>
      <c r="O20" s="501"/>
      <c r="P20" s="508"/>
      <c r="Q20" s="501"/>
      <c r="R20" s="501"/>
      <c r="S20" s="501"/>
      <c r="T20" s="297"/>
      <c r="U20" s="495" t="e">
        <f>IF(W2=1,        0,        IF(#REF!="Imperial",          IF(AB12=1,         (D7+D9)+(((#REF!*D61*D63)/1728)*(#REF!/100)),          2*(D7+D9)),                                                                                                                                                                                                                              IF(AB12=1,                         (D7+D9)+(((#REF!*D61*D63)/1000000000)*(#REF!/100)),          2*(D7+D9))))</f>
        <v>#REF!</v>
      </c>
      <c r="V20" s="495" t="e">
        <f>IF(W2=1,     0,      IF(Z12=0,       0,         Z12*K67))</f>
        <v>#REF!</v>
      </c>
      <c r="W20" s="495"/>
      <c r="X20" s="495" t="e">
        <f>IF(W2=1,        0,                  IF(AB12=1,                         IF(U12&lt;=D13,     1,              2),                            IF(AB12=2,              IF(U12&lt;=K13,         1,              2),                                                                                                                                            IF(#REF!="Imperial",           IF(U12&lt;= ((2*(F67+(((D61*(#REF!-(#REF!/2))*(C65+#REF!))/1728)*(#REF!/100))))+(Z12*(K67+(((I61*(#REF!-(#REF!/2))*H65)/1728)*(#REF!/100))))),          1,       2),                                                           IF(U12&lt;= ((2*(F67+(((D61*(#REF!-(#REF!/2))*(C65+#REF!))/1000000000)*(#REF!/100))))+(Z12*(K67+(((I61*(#REF!-(#REF!/2))*H65)/1000000000)*(#REF!/100))))),          1,       2)))))</f>
        <v>#REF!</v>
      </c>
      <c r="Y20" s="495" t="e">
        <f>IF(W2=1,                  0,                 IF(U12&lt;=(2*(U20+V20)),                      X20,                                                                                                                                                                                                                                       IF(AB12=1,           (ROUNDUP((U12-(2*(U20+V20)))/(L15),0))+2,                            IF(AB12=2,                   (ROUNDUP((U12-(2*(U20+V20)))/(2*G67),0))+2,                                                                                                        (ROUNDUP((U12-(2*(U20+V20)))/((Z12*L67)+(2*G67)),0))+2))))</f>
        <v>#REF!</v>
      </c>
      <c r="Z20" s="495"/>
      <c r="AA20" s="493"/>
      <c r="AB20" s="493"/>
      <c r="AC20" s="493"/>
      <c r="AD20" s="497"/>
      <c r="AE20" s="497"/>
    </row>
    <row r="21" spans="1:31" ht="15.75" x14ac:dyDescent="0.25">
      <c r="A21" s="501"/>
      <c r="B21" s="118" t="s">
        <v>47</v>
      </c>
      <c r="C21" s="117"/>
      <c r="D21" s="115" t="e">
        <f>IF(#REF!="Imperial",                         (((D77*#REF!*D75)/1728)*(#REF!/100))+((((#REF!-(#REF!/2))*(D5+#REF!+#REF!)*D75)/1728)*(#REF!/100)),                                                                                                                                                               (((D77*#REF!*D75)/1000000000)*(#REF!/100))+((((#REF!-(#REF!/2))*(D5+#REF!+#REF!)*D75)/1000000000)*(#REF!/100)))</f>
        <v>#REF!</v>
      </c>
      <c r="E21" s="505" t="s">
        <v>47</v>
      </c>
      <c r="F21" s="505"/>
      <c r="G21" s="505"/>
      <c r="H21" s="115" t="e">
        <f>IF(#REF!="Imperial",        2*(((D75*D77*#REF!)/1728)*(#REF!/100)),                     2*(((D75*D77*#REF!)/1000000000)*(#REF!/100)))</f>
        <v>#REF!</v>
      </c>
      <c r="I21" s="118" t="s">
        <v>47</v>
      </c>
      <c r="J21" s="117"/>
      <c r="K21" s="115" t="e">
        <f>IF(#REF!="Imperial",                  2*(((D75*(#REF!-(#REF!/2))*(C79+#REF!))/1728)*(#REF!/100)),                      2*(((D75*(#REF!-(#REF!/2))*(C79+#REF!))/1000000000)*(#REF!/100)))</f>
        <v>#REF!</v>
      </c>
      <c r="L21" s="114" t="s">
        <v>41</v>
      </c>
      <c r="M21" s="18"/>
      <c r="N21" s="18"/>
      <c r="O21" s="501"/>
      <c r="P21" s="139" t="e">
        <f>IF(X28=0,           0,          IF(X65=1,            X28,        IF(X65=2,        IF(X59=0,    2*X28,          IF(X59&lt;=2,          X28,                X28+V60)),          2*X28)))</f>
        <v>#REF!</v>
      </c>
      <c r="Q21" s="139" t="e">
        <f>IF(S35=1,        P21*(L7+L11),         IF(S35=2,            IF(S39="no",         P21*E67,       IF(X59&lt;=2,      P21*(L7+L11),       ((P21-X61)*E67)+(X61*(L7+L11)))),           P21*E67))</f>
        <v>#REF!</v>
      </c>
      <c r="R21" s="140" t="e">
        <f>IF(S35=1,         P21*D7,         IF(S35=2,            IF(S39="no",            P21*C67,            IF(X59&lt;=2,         P21*D7,            ((P21-X61)*C67)+(X61*D7))),                 P21*C67))</f>
        <v>#REF!</v>
      </c>
      <c r="S21" s="140" t="e">
        <f>Q21+R21</f>
        <v>#REF!</v>
      </c>
      <c r="U21" s="495"/>
      <c r="V21" s="495"/>
      <c r="W21" s="495"/>
      <c r="X21" s="495"/>
      <c r="Y21" s="495"/>
      <c r="Z21" s="495"/>
      <c r="AA21" s="493"/>
      <c r="AB21" s="493"/>
      <c r="AC21" s="493"/>
      <c r="AD21" s="497"/>
      <c r="AE21" s="497"/>
    </row>
    <row r="22" spans="1:31" ht="15.75" x14ac:dyDescent="0.25">
      <c r="A22" s="501"/>
      <c r="B22" s="117"/>
      <c r="C22" s="117"/>
      <c r="D22" s="115"/>
      <c r="E22" s="117"/>
      <c r="F22" s="288"/>
      <c r="G22" s="117"/>
      <c r="H22" s="115"/>
      <c r="I22" s="117"/>
      <c r="J22" s="117"/>
      <c r="K22" s="115"/>
      <c r="L22" s="121"/>
      <c r="M22" s="18"/>
      <c r="N22" s="18"/>
      <c r="O22" s="501" t="s">
        <v>67</v>
      </c>
      <c r="P22" s="508" t="s">
        <v>43</v>
      </c>
      <c r="Q22" s="501" t="s">
        <v>44</v>
      </c>
      <c r="R22" s="501" t="s">
        <v>45</v>
      </c>
      <c r="S22" s="501" t="s">
        <v>46</v>
      </c>
      <c r="U22" s="516" t="s">
        <v>68</v>
      </c>
      <c r="V22" s="516"/>
      <c r="W22" s="516"/>
      <c r="X22" s="516"/>
      <c r="Y22" s="516"/>
      <c r="Z22" s="516"/>
      <c r="AA22" s="516"/>
      <c r="AB22" s="516"/>
      <c r="AC22" s="493"/>
      <c r="AD22" s="497"/>
      <c r="AE22" s="497"/>
    </row>
    <row r="23" spans="1:31" ht="15.75" x14ac:dyDescent="0.25">
      <c r="A23" s="501"/>
      <c r="B23" s="506" t="s">
        <v>50</v>
      </c>
      <c r="C23" s="506"/>
      <c r="D23" s="122" t="e">
        <f>D19+D21+D7</f>
        <v>#REF!</v>
      </c>
      <c r="E23" s="506" t="s">
        <v>50</v>
      </c>
      <c r="F23" s="506"/>
      <c r="G23" s="506"/>
      <c r="H23" s="122" t="e">
        <f>H19+H21+H7</f>
        <v>#REF!</v>
      </c>
      <c r="I23" s="506" t="s">
        <v>50</v>
      </c>
      <c r="J23" s="506"/>
      <c r="K23" s="122" t="e">
        <f>K19+K21</f>
        <v>#REF!</v>
      </c>
      <c r="L23" s="114" t="e">
        <f>IF(#REF!="Imperial",                (((E75*(E77)*#REF!)/1728)*(#REF!/100)),                     (((E75*(E77)*#REF!)/1000000000)*(#REF!/100)))</f>
        <v>#REF!</v>
      </c>
      <c r="M23" s="95"/>
      <c r="N23" s="18"/>
      <c r="O23" s="501"/>
      <c r="P23" s="508"/>
      <c r="Q23" s="501"/>
      <c r="R23" s="501"/>
      <c r="S23" s="501"/>
      <c r="U23" s="516"/>
      <c r="V23" s="516"/>
      <c r="W23" s="516"/>
      <c r="X23" s="516"/>
      <c r="Y23" s="516"/>
      <c r="Z23" s="516"/>
      <c r="AA23" s="516"/>
      <c r="AB23" s="516"/>
      <c r="AC23" s="493"/>
      <c r="AD23" s="497"/>
      <c r="AE23" s="497"/>
    </row>
    <row r="24" spans="1:31" x14ac:dyDescent="0.25">
      <c r="A24" s="123"/>
      <c r="B24" s="123"/>
      <c r="C24" s="123"/>
      <c r="D24" s="123"/>
      <c r="E24" s="123"/>
      <c r="F24" s="123"/>
      <c r="G24" s="123"/>
      <c r="H24" s="123"/>
      <c r="I24" s="124"/>
      <c r="J24" s="124"/>
      <c r="K24" s="124"/>
      <c r="L24" s="114"/>
      <c r="M24" s="18"/>
      <c r="N24" s="18"/>
      <c r="O24" s="501"/>
      <c r="P24" s="508"/>
      <c r="Q24" s="501"/>
      <c r="R24" s="501"/>
      <c r="S24" s="501"/>
      <c r="U24" s="496" t="s">
        <v>72</v>
      </c>
      <c r="V24" s="496" t="e">
        <f>IF(#REF!=1,          "Chosen Number of Rows",      "Default Number of Rows")</f>
        <v>#REF!</v>
      </c>
      <c r="W24" s="496" t="s">
        <v>73</v>
      </c>
      <c r="X24" s="498" t="s">
        <v>74</v>
      </c>
      <c r="Y24" s="498" t="s">
        <v>75</v>
      </c>
      <c r="Z24" s="498"/>
      <c r="AA24" s="498" t="s">
        <v>76</v>
      </c>
      <c r="AB24" s="493"/>
      <c r="AC24" s="493"/>
      <c r="AD24" s="497"/>
      <c r="AE24" s="497"/>
    </row>
    <row r="25" spans="1:31" x14ac:dyDescent="0.25">
      <c r="A25" s="496"/>
      <c r="B25" s="496"/>
      <c r="C25" s="496"/>
      <c r="D25" s="496"/>
      <c r="E25" s="496"/>
      <c r="F25" s="496"/>
      <c r="G25" s="496"/>
      <c r="H25" s="496"/>
      <c r="I25" s="496"/>
      <c r="J25" s="496"/>
      <c r="K25" s="496"/>
      <c r="L25" s="114" t="s">
        <v>50</v>
      </c>
      <c r="M25" s="18"/>
      <c r="N25" s="18"/>
      <c r="O25" s="501"/>
      <c r="P25" s="140" t="e">
        <f>IF(X28=0,    0,     IF(X65&lt;=2,         0,            IF(X59=0,               X28*X34,              IF(X59&lt;=2,      X28*U54,          (X28*U54)+V60))))</f>
        <v>#REF!</v>
      </c>
      <c r="Q25" s="140" t="e">
        <f>P25*J67</f>
        <v>#REF!</v>
      </c>
      <c r="R25" s="140" t="e">
        <f>P25*H67</f>
        <v>#REF!</v>
      </c>
      <c r="S25" s="140" t="e">
        <f>P25*L67</f>
        <v>#REF!</v>
      </c>
      <c r="U25" s="496"/>
      <c r="V25" s="496"/>
      <c r="W25" s="496"/>
      <c r="X25" s="498"/>
      <c r="Y25" s="498"/>
      <c r="Z25" s="498"/>
      <c r="AA25" s="498"/>
      <c r="AB25" s="493"/>
      <c r="AC25" s="493"/>
      <c r="AD25" s="497"/>
      <c r="AE25" s="497"/>
    </row>
    <row r="26" spans="1:31" x14ac:dyDescent="0.25">
      <c r="A26" s="496"/>
      <c r="B26" s="496"/>
      <c r="C26" s="496"/>
      <c r="D26" s="496"/>
      <c r="E26" s="496"/>
      <c r="F26" s="496"/>
      <c r="G26" s="496"/>
      <c r="H26" s="496"/>
      <c r="I26" s="496"/>
      <c r="J26" s="496"/>
      <c r="K26" s="496"/>
      <c r="L26" s="114"/>
      <c r="M26" s="18"/>
      <c r="N26" s="18"/>
      <c r="O26" s="141"/>
      <c r="P26" s="124"/>
      <c r="Q26" s="141"/>
      <c r="R26" s="141"/>
      <c r="S26" s="141"/>
      <c r="U26" s="496"/>
      <c r="V26" s="496"/>
      <c r="W26" s="496"/>
      <c r="X26" s="498"/>
      <c r="Y26" s="498"/>
      <c r="Z26" s="498"/>
      <c r="AA26" s="498"/>
      <c r="AB26" s="493"/>
      <c r="AC26" s="496" t="s">
        <v>78</v>
      </c>
      <c r="AD26" s="496"/>
      <c r="AE26" s="496"/>
    </row>
    <row r="27" spans="1:31" x14ac:dyDescent="0.25">
      <c r="A27" s="496"/>
      <c r="B27" s="496"/>
      <c r="C27" s="496"/>
      <c r="D27" s="496"/>
      <c r="E27" s="496"/>
      <c r="F27" s="496"/>
      <c r="G27" s="496"/>
      <c r="H27" s="496"/>
      <c r="I27" s="496"/>
      <c r="J27" s="496"/>
      <c r="K27" s="496"/>
      <c r="L27" s="114" t="e">
        <f>L19+L23+D7</f>
        <v>#REF!</v>
      </c>
      <c r="M27" s="18"/>
      <c r="N27" s="18"/>
      <c r="O27" s="142" t="s">
        <v>80</v>
      </c>
      <c r="P27" s="142" t="e">
        <f>P13+P17+P21+P25</f>
        <v>#REF!</v>
      </c>
      <c r="Q27" s="142" t="e">
        <f t="shared" ref="Q27:S27" si="0">Q13+Q17+Q21+Q25</f>
        <v>#REF!</v>
      </c>
      <c r="R27" s="142" t="e">
        <f t="shared" si="0"/>
        <v>#REF!</v>
      </c>
      <c r="S27" s="142" t="e">
        <f t="shared" si="0"/>
        <v>#REF!</v>
      </c>
      <c r="U27" s="496"/>
      <c r="V27" s="496"/>
      <c r="W27" s="496"/>
      <c r="X27" s="498"/>
      <c r="Y27" s="498"/>
      <c r="Z27" s="498"/>
      <c r="AA27" s="498"/>
      <c r="AB27" s="493"/>
      <c r="AC27" s="496"/>
      <c r="AD27" s="496"/>
      <c r="AE27" s="496"/>
    </row>
    <row r="28" spans="1:31" x14ac:dyDescent="0.25">
      <c r="A28" s="123"/>
      <c r="B28" s="123"/>
      <c r="C28" s="123"/>
      <c r="D28" s="123"/>
      <c r="E28" s="123"/>
      <c r="F28" s="123"/>
      <c r="G28" s="123"/>
      <c r="H28" s="123"/>
      <c r="I28" s="124"/>
      <c r="J28" s="124"/>
      <c r="K28" s="124"/>
      <c r="L28" s="288"/>
      <c r="M28" s="95"/>
      <c r="N28" s="18"/>
      <c r="O28" s="9"/>
      <c r="P28" s="9"/>
      <c r="Q28" s="9"/>
      <c r="R28" s="9"/>
      <c r="S28" s="9"/>
      <c r="U28" s="495" t="e">
        <f>IF($H$37=1,       $H$17,                 IF($H$37=2,      $H$17-S97,               IF($H$37=3,       $H$17-S97-S153,       IF(#REF!=4,#REF!-           S97-S153-S193,         0))))</f>
        <v>#REF!</v>
      </c>
      <c r="V28" s="495" t="e">
        <f>S33</f>
        <v>#REF!</v>
      </c>
      <c r="W28" s="495" t="e">
        <f>IF(V28=1,       1,        2)</f>
        <v>#REF!</v>
      </c>
      <c r="X28" s="493" t="e">
        <f>IF(V28&lt;3,      0,        V28-2)</f>
        <v>#REF!</v>
      </c>
      <c r="Y28" s="493" t="e">
        <f>IF(V28=1,   IF(U28&lt;=D13,   D13,     IF(#REF!="Imperial",       F67+((((#REF!-(#REF!/2))*D61*(C65+#REF!))/1728)*(#REF!/100)),        F67+((((#REF!-(#REF!/2))*D61*(C65+#REF!))/1000000000)*(#REF!/100)))),                                      IF(U28&lt;=H13,                H13,               2*F67))</f>
        <v>#REF!</v>
      </c>
      <c r="Z28" s="493"/>
      <c r="AA28" s="493" t="e">
        <f>IF(X28=0,            0,                X28*G67)</f>
        <v>#REF!</v>
      </c>
      <c r="AB28" s="493"/>
      <c r="AC28" s="496" t="e">
        <f>IF(W2=1,      "Maximum Number of Rows",                 "Minimum Number of Rows")</f>
        <v>#REF!</v>
      </c>
      <c r="AD28" s="496"/>
      <c r="AE28" s="498" t="e">
        <f>IF(W2=1,             "N/A",                "Maximum Number of Chambers per Full Row")</f>
        <v>#REF!</v>
      </c>
    </row>
    <row r="29" spans="1:31" x14ac:dyDescent="0.25">
      <c r="A29" s="501" t="s">
        <v>81</v>
      </c>
      <c r="B29" s="508" t="s">
        <v>16</v>
      </c>
      <c r="C29" s="508"/>
      <c r="D29" s="508"/>
      <c r="E29" s="510" t="s">
        <v>60</v>
      </c>
      <c r="F29" s="510"/>
      <c r="G29" s="510"/>
      <c r="H29" s="510"/>
      <c r="I29" s="439" t="s">
        <v>18</v>
      </c>
      <c r="J29" s="439"/>
      <c r="K29" s="439"/>
      <c r="L29" s="114" t="s">
        <v>19</v>
      </c>
      <c r="M29" s="95"/>
      <c r="N29" s="18"/>
      <c r="O29" s="9"/>
      <c r="P29" s="9"/>
      <c r="Q29" s="9"/>
      <c r="R29" s="9"/>
      <c r="S29" s="9"/>
      <c r="T29" s="291"/>
      <c r="U29" s="495"/>
      <c r="V29" s="495"/>
      <c r="W29" s="495"/>
      <c r="X29" s="493"/>
      <c r="Y29" s="493"/>
      <c r="Z29" s="493"/>
      <c r="AA29" s="493"/>
      <c r="AB29" s="493"/>
      <c r="AC29" s="496"/>
      <c r="AD29" s="496"/>
      <c r="AE29" s="498"/>
    </row>
    <row r="30" spans="1:31" x14ac:dyDescent="0.25">
      <c r="A30" s="501"/>
      <c r="B30" s="508"/>
      <c r="C30" s="508"/>
      <c r="D30" s="508"/>
      <c r="E30" s="123"/>
      <c r="F30" s="123"/>
      <c r="G30" s="123"/>
      <c r="H30" s="123"/>
      <c r="I30" s="124"/>
      <c r="J30" s="124"/>
      <c r="K30" s="124"/>
      <c r="L30" s="288"/>
      <c r="M30" s="95"/>
      <c r="N30" s="18"/>
      <c r="O30" s="107"/>
      <c r="P30" s="286"/>
      <c r="Q30" s="12"/>
      <c r="R30" s="18"/>
      <c r="S30" s="18"/>
      <c r="U30" s="493" t="s">
        <v>83</v>
      </c>
      <c r="V30" s="493"/>
      <c r="W30" s="498" t="s">
        <v>84</v>
      </c>
      <c r="X30" s="498" t="s">
        <v>85</v>
      </c>
      <c r="Y30" s="498"/>
      <c r="Z30" s="496" t="s">
        <v>86</v>
      </c>
      <c r="AA30" s="511"/>
      <c r="AB30" s="493"/>
      <c r="AC30" s="496"/>
      <c r="AD30" s="496"/>
      <c r="AE30" s="498"/>
    </row>
    <row r="31" spans="1:31" ht="15.75" x14ac:dyDescent="0.25">
      <c r="A31" s="501"/>
      <c r="B31" s="507" t="s">
        <v>65</v>
      </c>
      <c r="C31" s="507"/>
      <c r="D31" s="115" t="e">
        <f>IF(#REF!="Imperial",             (((((D5+#REF!)*(C91+#REF!+(#REF!/2))*D89)/1728)-D7)*(#REF!/100)),                    (((((D5+#REF!)*(C91+#REF!+(#REF!/2))*D89)/1000000000)-D7)*(#REF!/100)))</f>
        <v>#REF!</v>
      </c>
      <c r="E31" s="507" t="s">
        <v>65</v>
      </c>
      <c r="F31" s="507"/>
      <c r="G31" s="507"/>
      <c r="H31" s="115" t="e">
        <f>2*D31</f>
        <v>#REF!</v>
      </c>
      <c r="I31" s="116" t="s">
        <v>65</v>
      </c>
      <c r="J31" s="117"/>
      <c r="K31" s="115" t="e">
        <f>2*F93</f>
        <v>#REF!</v>
      </c>
      <c r="L31" s="114" t="s">
        <v>25</v>
      </c>
      <c r="M31" s="95"/>
      <c r="N31" s="18"/>
      <c r="O31" s="503" t="e">
        <f>IF($H$23=1,    "Max suggested number of rows",     "Min suggested number of rows")</f>
        <v>#REF!</v>
      </c>
      <c r="P31" s="503"/>
      <c r="Q31" s="503"/>
      <c r="R31" s="503"/>
      <c r="S31" s="263" t="e">
        <f>IF(W2=1,      AB12,    Y20)</f>
        <v>#REF!</v>
      </c>
      <c r="U31" s="493"/>
      <c r="V31" s="493"/>
      <c r="W31" s="498"/>
      <c r="X31" s="498"/>
      <c r="Y31" s="498"/>
      <c r="Z31" s="511"/>
      <c r="AA31" s="511"/>
      <c r="AB31" s="493"/>
      <c r="AC31" s="496"/>
      <c r="AD31" s="496"/>
      <c r="AE31" s="498"/>
    </row>
    <row r="32" spans="1:31" ht="15.75" x14ac:dyDescent="0.25">
      <c r="A32" s="501"/>
      <c r="B32" s="118"/>
      <c r="C32" s="117"/>
      <c r="D32" s="115"/>
      <c r="E32" s="274"/>
      <c r="F32" s="119"/>
      <c r="G32" s="120"/>
      <c r="H32" s="115"/>
      <c r="I32" s="118"/>
      <c r="J32" s="117"/>
      <c r="K32" s="115"/>
      <c r="L32" s="114"/>
      <c r="M32" s="95"/>
      <c r="N32" s="18"/>
      <c r="O32" s="143"/>
      <c r="P32" s="143"/>
      <c r="Q32" s="143"/>
      <c r="R32" s="143"/>
      <c r="S32" s="288"/>
      <c r="U32" s="493"/>
      <c r="V32" s="493"/>
      <c r="W32" s="498"/>
      <c r="X32" s="498"/>
      <c r="Y32" s="498"/>
      <c r="Z32" s="511"/>
      <c r="AA32" s="511"/>
      <c r="AB32" s="493"/>
      <c r="AC32" s="495" t="e">
        <f>IF(W2=1,            IF(AC12&lt;AB12,           AC12,        AB12),        Y20)</f>
        <v>#REF!</v>
      </c>
      <c r="AD32" s="495"/>
      <c r="AE32" s="497" t="e">
        <f>IF(W2=1,         0,                             AB12)</f>
        <v>#REF!</v>
      </c>
    </row>
    <row r="33" spans="1:31" ht="15.75" x14ac:dyDescent="0.25">
      <c r="A33" s="501"/>
      <c r="B33" s="118" t="s">
        <v>47</v>
      </c>
      <c r="C33" s="117"/>
      <c r="D33" s="115" t="e">
        <f>IF(#REF!="Imperial",                                     (((D91*#REF!*D89)/1728)*(#REF!/100))+((((#REF!-(#REF!/2))*(D5+#REF!+#REF!)*D89)/1728)*(#REF!/100)),                                                                                                                                            (((D91*#REF!*D89)/1000000000)*(#REF!/100))+((((#REF!-(#REF!/2))*(D5+#REF!+#REF!)*D89)/1000000000)*(#REF!/100)))</f>
        <v>#REF!</v>
      </c>
      <c r="E33" s="505" t="s">
        <v>47</v>
      </c>
      <c r="F33" s="505"/>
      <c r="G33" s="505"/>
      <c r="H33" s="115" t="e">
        <f>IF(#REF!="Imperial",                2*(((D89*D91*#REF!)/1728)*(#REF!/100)),                            2*(((D89*D91*#REF!)/1000000000)*(#REF!/100)))</f>
        <v>#REF!</v>
      </c>
      <c r="I33" s="118" t="s">
        <v>47</v>
      </c>
      <c r="J33" s="117"/>
      <c r="K33" s="115" t="e">
        <f>IF(#REF!="Imperial",                      2*(((D89*(#REF!-(#REF!/2))*(C92+#REF!))/1728)*(#REF!/100)),                      2*(((D89*(#REF!-(#REF!/2))*(C92+#REF!))/1000000000)*(#REF!/100)))</f>
        <v>#REF!</v>
      </c>
      <c r="L33" s="114" t="e">
        <f>IF(#REF!="Imperial",           (((E89*(E91)*(D5+#REF!))/1728)-D7)*(#REF!/100),                    (((E89*(E91)*(D5+#REF!))/1000000000)-D7)*(#REF!/100))</f>
        <v>#REF!</v>
      </c>
      <c r="M33" s="95"/>
      <c r="N33" s="18"/>
      <c r="O33" s="504" t="e">
        <f>IF(#REF!=1,      "Chosen number of rows",    "Default number of rows")</f>
        <v>#REF!</v>
      </c>
      <c r="P33" s="504"/>
      <c r="Q33" s="504"/>
      <c r="R33" s="504"/>
      <c r="S33" s="272" t="e">
        <f>IF(#REF!=1,#REF!,         IF(OR(#REF!=       2,#REF!=4),           IF(W2=1,       AB12,     Y20),              IF(W2=1,              IF(AC12&lt;AB12,        AC12,      AB12),             Y20)))</f>
        <v>#REF!</v>
      </c>
      <c r="U33" s="493"/>
      <c r="V33" s="493"/>
      <c r="W33" s="498"/>
      <c r="X33" s="498"/>
      <c r="Y33" s="498"/>
      <c r="Z33" s="511"/>
      <c r="AA33" s="511"/>
      <c r="AB33" s="493"/>
      <c r="AC33" s="495"/>
      <c r="AD33" s="495"/>
      <c r="AE33" s="497"/>
    </row>
    <row r="34" spans="1:31" ht="15.75" x14ac:dyDescent="0.25">
      <c r="A34" s="501"/>
      <c r="B34" s="117"/>
      <c r="C34" s="117"/>
      <c r="D34" s="115"/>
      <c r="E34" s="117"/>
      <c r="F34" s="288"/>
      <c r="G34" s="117"/>
      <c r="H34" s="115"/>
      <c r="I34" s="117"/>
      <c r="J34" s="117"/>
      <c r="K34" s="115"/>
      <c r="L34" s="114"/>
      <c r="M34" s="95"/>
      <c r="N34" s="18"/>
      <c r="O34" s="275"/>
      <c r="P34" s="275"/>
      <c r="Q34" s="275"/>
      <c r="R34" s="144"/>
      <c r="S34" s="272"/>
      <c r="U34" s="493"/>
      <c r="V34" s="493"/>
      <c r="W34" s="495" t="e">
        <f>IF(W2=1,          IF(V28=1,         IF(U28&lt;=D13,       1,        2),          IF(V28=2,                     IF(U28&lt;=H13,             1,           2),                                            IF(#REF!="Imperial",                                                                                                                                                                                   IF(U28&lt;=((2*(F67+(((D61*D63*#REF!)/1728)*(#REF!/100))))+(X28*(G67+(((E61*E63*#REF!)/1728)*(#REF!/100))))),       1,       2),                                                                                                                                     IF(U28&lt;=((2*(F67+(((D61*D63*#REF!)/1000000000)*(#REF!/100))))+(X28*(G67+(((E61*E63*#REF!)/1000000000)*(#REF!/100))))),       1,       2)))),         IF(AB12=1,        1,    2))</f>
        <v>#REF!</v>
      </c>
      <c r="X34" s="495" t="e">
        <f>IF(U28&lt;=(2*(Y28+AA28)),          0,             IF(AND(V28=1,U28&lt;=K13), 0,  IF(#REF!="Imperial",           IF(V28=1,                        ROUNDUP((U28-(K13))/(K67+((((#REF!-(#REF!/2))*I61*I65)/1728)*(#REF!/100))),0),                                                                                                                                         IF(V28=2,             ROUNDUP((U28-(2*Y28))/(2*K67),0),                 ROUNDUP((U28-(2*(Y28+AA28)))/((2*K67)+(X28*L67)),0))),                                                                                                                                                                                                           IF(V28=1,                        ROUNDUP((U28-(K13))/(K67+((((#REF!-(#REF!/2))*I61*I65)/1000000000)*(#REF!/100))),0),                                                                                                                                                             IF(V28=2,                        ROUNDUP((U28-(2*Y28))/(2*K67),0),             ROUNDUP((U28-(2*(Y28+AA28)))/((2*K67)+(X28*L67)),0))))))</f>
        <v>#REF!</v>
      </c>
      <c r="Y34" s="495"/>
      <c r="Z34" s="495" t="e">
        <f>W34+X34</f>
        <v>#REF!</v>
      </c>
      <c r="AA34" s="495"/>
      <c r="AB34" s="493"/>
      <c r="AC34" s="496" t="s">
        <v>94</v>
      </c>
      <c r="AD34" s="496"/>
      <c r="AE34" s="496"/>
    </row>
    <row r="35" spans="1:31" ht="15.75" x14ac:dyDescent="0.25">
      <c r="A35" s="501"/>
      <c r="B35" s="506" t="s">
        <v>50</v>
      </c>
      <c r="C35" s="506"/>
      <c r="D35" s="122" t="e">
        <f>D31+D33+D7</f>
        <v>#REF!</v>
      </c>
      <c r="E35" s="506" t="s">
        <v>50</v>
      </c>
      <c r="F35" s="506"/>
      <c r="G35" s="506"/>
      <c r="H35" s="122" t="e">
        <f>H31+H33+H7</f>
        <v>#REF!</v>
      </c>
      <c r="I35" s="506" t="s">
        <v>50</v>
      </c>
      <c r="J35" s="506"/>
      <c r="K35" s="122" t="e">
        <f>K31+K33</f>
        <v>#REF!</v>
      </c>
      <c r="L35" s="114" t="s">
        <v>41</v>
      </c>
      <c r="M35" s="95"/>
      <c r="N35" s="18"/>
      <c r="O35" s="504" t="e">
        <f>IF($H$23=1,       "Min number of chambers per full Row",      "Max number of chambers per Row")</f>
        <v>#REF!</v>
      </c>
      <c r="P35" s="504"/>
      <c r="Q35" s="504"/>
      <c r="R35" s="504"/>
      <c r="S35" s="272" t="e">
        <f>IF(AA54=0,      V54,        Z34)</f>
        <v>#REF!</v>
      </c>
      <c r="U35" s="493"/>
      <c r="V35" s="493"/>
      <c r="W35" s="495"/>
      <c r="X35" s="495"/>
      <c r="Y35" s="495"/>
      <c r="Z35" s="495"/>
      <c r="AA35" s="495"/>
      <c r="AB35" s="493"/>
      <c r="AC35" s="496"/>
      <c r="AD35" s="496"/>
      <c r="AE35" s="496"/>
    </row>
    <row r="36" spans="1:31" x14ac:dyDescent="0.25">
      <c r="A36" s="125"/>
      <c r="B36" s="125"/>
      <c r="C36" s="125"/>
      <c r="D36" s="125"/>
      <c r="E36" s="125"/>
      <c r="F36" s="288"/>
      <c r="G36" s="288"/>
      <c r="H36" s="125"/>
      <c r="I36" s="125"/>
      <c r="J36" s="125"/>
      <c r="K36" s="125"/>
      <c r="L36" s="121"/>
      <c r="M36" s="18"/>
      <c r="N36" s="18"/>
      <c r="O36" s="275"/>
      <c r="P36" s="275"/>
      <c r="Q36" s="275"/>
      <c r="R36" s="144"/>
      <c r="S36" s="272"/>
      <c r="U36" s="496" t="s">
        <v>97</v>
      </c>
      <c r="V36" s="496" t="s">
        <v>98</v>
      </c>
      <c r="W36" s="498" t="s">
        <v>99</v>
      </c>
      <c r="X36" s="498" t="s">
        <v>100</v>
      </c>
      <c r="Y36" s="497"/>
      <c r="Z36" s="497"/>
      <c r="AA36" s="497"/>
      <c r="AB36" s="493"/>
      <c r="AC36" s="498" t="s">
        <v>101</v>
      </c>
      <c r="AD36" s="498"/>
      <c r="AE36" s="539" t="s">
        <v>102</v>
      </c>
    </row>
    <row r="37" spans="1:31" x14ac:dyDescent="0.25">
      <c r="A37" s="539"/>
      <c r="B37" s="539"/>
      <c r="C37" s="539"/>
      <c r="D37" s="539"/>
      <c r="E37" s="539"/>
      <c r="F37" s="539"/>
      <c r="G37" s="539"/>
      <c r="H37" s="539"/>
      <c r="I37" s="539"/>
      <c r="J37" s="539"/>
      <c r="K37" s="539"/>
      <c r="L37" s="114" t="e">
        <f>IF(#REF!="Imperial",                (((E89*(E91)*#REF!)/1728)*(#REF!/100)),                     (((E89*(E91)*#REF!)/1000000000)*(#REF!/100)))</f>
        <v>#REF!</v>
      </c>
      <c r="M37" s="95"/>
      <c r="N37" s="18"/>
      <c r="O37" s="504" t="s">
        <v>105</v>
      </c>
      <c r="P37" s="504"/>
      <c r="Q37" s="504"/>
      <c r="R37" s="504"/>
      <c r="S37" s="272" t="e">
        <f>X59</f>
        <v>#REF!</v>
      </c>
      <c r="U37" s="496"/>
      <c r="V37" s="496"/>
      <c r="W37" s="498"/>
      <c r="X37" s="498"/>
      <c r="Y37" s="497"/>
      <c r="Z37" s="497"/>
      <c r="AA37" s="497"/>
      <c r="AB37" s="493"/>
      <c r="AC37" s="498"/>
      <c r="AD37" s="498"/>
      <c r="AE37" s="539"/>
    </row>
    <row r="38" spans="1:31" x14ac:dyDescent="0.25">
      <c r="A38" s="539"/>
      <c r="B38" s="539"/>
      <c r="C38" s="539"/>
      <c r="D38" s="539"/>
      <c r="E38" s="539"/>
      <c r="F38" s="539"/>
      <c r="G38" s="539"/>
      <c r="H38" s="539"/>
      <c r="I38" s="539"/>
      <c r="J38" s="539"/>
      <c r="K38" s="539"/>
      <c r="L38" s="114"/>
      <c r="M38" s="12"/>
      <c r="N38" s="18"/>
      <c r="O38" s="275"/>
      <c r="P38" s="275"/>
      <c r="Q38" s="275"/>
      <c r="R38" s="144"/>
      <c r="S38" s="272"/>
      <c r="U38" s="496"/>
      <c r="V38" s="496"/>
      <c r="W38" s="498"/>
      <c r="X38" s="498"/>
      <c r="Y38" s="497"/>
      <c r="Z38" s="497"/>
      <c r="AA38" s="497"/>
      <c r="AB38" s="493"/>
      <c r="AC38" s="498"/>
      <c r="AD38" s="498"/>
      <c r="AE38" s="539"/>
    </row>
    <row r="39" spans="1:31" x14ac:dyDescent="0.25">
      <c r="A39" s="539"/>
      <c r="B39" s="539"/>
      <c r="C39" s="539"/>
      <c r="D39" s="539"/>
      <c r="E39" s="539"/>
      <c r="F39" s="539"/>
      <c r="G39" s="539"/>
      <c r="H39" s="539"/>
      <c r="I39" s="539"/>
      <c r="J39" s="539"/>
      <c r="K39" s="539"/>
      <c r="L39" s="114" t="s">
        <v>50</v>
      </c>
      <c r="M39" s="12"/>
      <c r="N39" s="18"/>
      <c r="O39" s="500" t="s">
        <v>106</v>
      </c>
      <c r="P39" s="500"/>
      <c r="Q39" s="500"/>
      <c r="R39" s="500"/>
      <c r="S39" s="263" t="e">
        <f>IF(S33=1,    "no",     IF(S35=1,      "no",       IF(X61=0,          "no",          "yes")))</f>
        <v>#REF!</v>
      </c>
      <c r="U39" s="496"/>
      <c r="V39" s="496"/>
      <c r="W39" s="498"/>
      <c r="X39" s="498"/>
      <c r="Y39" s="497"/>
      <c r="Z39" s="497"/>
      <c r="AA39" s="497"/>
      <c r="AB39" s="493"/>
      <c r="AC39" s="498"/>
      <c r="AD39" s="498"/>
      <c r="AE39" s="539"/>
    </row>
    <row r="40" spans="1:31" x14ac:dyDescent="0.25">
      <c r="A40" s="539"/>
      <c r="B40" s="539"/>
      <c r="C40" s="539"/>
      <c r="D40" s="539"/>
      <c r="E40" s="539"/>
      <c r="F40" s="539"/>
      <c r="G40" s="539"/>
      <c r="H40" s="539"/>
      <c r="I40" s="539"/>
      <c r="J40" s="539"/>
      <c r="K40" s="539"/>
      <c r="L40" s="288"/>
      <c r="M40" s="9"/>
      <c r="N40" s="18"/>
      <c r="O40" s="145"/>
      <c r="P40" s="145"/>
      <c r="Q40" s="271"/>
      <c r="R40" s="144"/>
      <c r="S40" s="135"/>
      <c r="U40" s="497" t="e">
        <f>IF(#REF!="Imperial",   IF(V28=1,  IF(Z34=1,   D13,   IF(Z34=2,   K13,  (2*(F67+((((#REF!-(#REF!/2))*D61*D65)/1728)*(#REF!/100))))+(X34*(K67+((((#REF!-(#REF!/2))*I61*I65)/1728)*(#REF!/100)))))),                                                                              IF(Z34=1,                   F67+(((D61*#REF!*D63)/1728)*(#REF!/100)),                      IF(Z34=2,                2*F67,                 (2*F67)+(X34*K67)))),                                                                                                                  IF(V28=1,   IF(Z34=1,     D13,     IF(Z34=2,    K13,     (2*(F67+((((#REF!-(#REF!/2))*D61*D65)/1000000000)*(#REF!/100))))+(X34*(K67+((((#REF!-(#REF!/2))*I61*I65)/1000000000)*(#REF!/100)))))),                                                                              IF(Z34=1,                F67+(((D61*#REF!*D63)/1000000000)*(#REF!/100)),              IF(Z34=2,       2*F67,              (2*F67)+(X34*K67)))))</f>
        <v>#REF!</v>
      </c>
      <c r="V40" s="497" t="e">
        <f>IF(X28=0,          0,                IF(Z34=1,                   L15,                      IF(Z34=2,                           2*G67,                         (2*G67)+(X34*L67))))</f>
        <v>#REF!</v>
      </c>
      <c r="W40" s="497" t="e">
        <f>IF(V28=1,     1,        IF(V28=2,        ROUNDDOWN((U28/U40),0),                           (ROUNDDOWN((U28-(2*U40))/V40,0))+2))</f>
        <v>#REF!</v>
      </c>
      <c r="X40" s="497" t="e">
        <f>IF(V28&lt;3,            0,                ROUNDDOWN((U28-(2*U40))/V40,0))</f>
        <v>#REF!</v>
      </c>
      <c r="Y40" s="497"/>
      <c r="Z40" s="497"/>
      <c r="AA40" s="497"/>
      <c r="AB40" s="493"/>
      <c r="AC40" s="495" t="e">
        <f>IF(#REF!=OR(1,3),#REF!,          IF(                    W2=1,                 AB12,        Y20))</f>
        <v>#REF!</v>
      </c>
      <c r="AD40" s="495"/>
      <c r="AE40" s="497" t="e">
        <f>Z34</f>
        <v>#REF!</v>
      </c>
    </row>
    <row r="41" spans="1:31" ht="15.75" x14ac:dyDescent="0.25">
      <c r="A41" s="539"/>
      <c r="B41" s="539"/>
      <c r="C41" s="539"/>
      <c r="D41" s="539"/>
      <c r="E41" s="539"/>
      <c r="F41" s="539"/>
      <c r="G41" s="539"/>
      <c r="H41" s="539"/>
      <c r="I41" s="539"/>
      <c r="J41" s="539"/>
      <c r="K41" s="539"/>
      <c r="L41" s="114" t="e">
        <f>L33+L37+D7</f>
        <v>#REF!</v>
      </c>
      <c r="M41" s="9"/>
      <c r="N41" s="18"/>
      <c r="O41" s="500" t="s">
        <v>107</v>
      </c>
      <c r="P41" s="500"/>
      <c r="Q41" s="500"/>
      <c r="R41" s="500"/>
      <c r="S41" s="146" t="e">
        <f>S13+S17+S21+S25</f>
        <v>#REF!</v>
      </c>
      <c r="T41" s="108"/>
      <c r="U41" s="497"/>
      <c r="V41" s="497"/>
      <c r="W41" s="497"/>
      <c r="X41" s="497"/>
      <c r="Y41" s="497"/>
      <c r="Z41" s="497"/>
      <c r="AA41" s="497"/>
      <c r="AB41" s="493"/>
      <c r="AC41" s="495"/>
      <c r="AD41" s="495"/>
      <c r="AE41" s="497"/>
    </row>
    <row r="42" spans="1:31" x14ac:dyDescent="0.25">
      <c r="A42" s="125"/>
      <c r="B42" s="125"/>
      <c r="C42" s="125"/>
      <c r="D42" s="125"/>
      <c r="E42" s="125"/>
      <c r="F42" s="125"/>
      <c r="G42" s="125"/>
      <c r="H42" s="125"/>
      <c r="I42" s="125"/>
      <c r="J42" s="125"/>
      <c r="K42" s="125"/>
      <c r="L42" s="114"/>
      <c r="M42" s="9"/>
      <c r="N42" s="18"/>
      <c r="O42" s="270"/>
      <c r="P42" s="271"/>
      <c r="Q42" s="271"/>
      <c r="R42" s="271"/>
      <c r="S42" s="141"/>
      <c r="T42" s="108"/>
      <c r="U42" s="498" t="s">
        <v>108</v>
      </c>
      <c r="V42" s="498" t="s">
        <v>109</v>
      </c>
      <c r="W42" s="498" t="s">
        <v>110</v>
      </c>
      <c r="X42" s="498" t="s">
        <v>111</v>
      </c>
      <c r="Y42" s="498"/>
      <c r="Z42" s="495"/>
      <c r="AA42" s="511"/>
      <c r="AB42" s="493"/>
      <c r="AC42" s="496" t="s">
        <v>105</v>
      </c>
      <c r="AD42" s="496"/>
      <c r="AE42" s="498" t="e">
        <f>IF(U46=0,         "N/A",      "Number of chambers in short row")</f>
        <v>#REF!</v>
      </c>
    </row>
    <row r="43" spans="1:31" x14ac:dyDescent="0.25">
      <c r="A43" s="501" t="s">
        <v>112</v>
      </c>
      <c r="B43" s="508" t="s">
        <v>16</v>
      </c>
      <c r="C43" s="508"/>
      <c r="D43" s="508"/>
      <c r="E43" s="510" t="s">
        <v>60</v>
      </c>
      <c r="F43" s="510"/>
      <c r="G43" s="510"/>
      <c r="H43" s="510"/>
      <c r="I43" s="439" t="s">
        <v>18</v>
      </c>
      <c r="J43" s="439"/>
      <c r="K43" s="439"/>
      <c r="L43" s="114" t="s">
        <v>19</v>
      </c>
      <c r="M43" s="9"/>
      <c r="N43" s="18"/>
      <c r="O43" s="532" t="s">
        <v>113</v>
      </c>
      <c r="P43" s="532"/>
      <c r="Q43" s="532"/>
      <c r="R43" s="532"/>
      <c r="S43" s="139" t="e">
        <f>IF(#REF!="Imperial",      IF(S35=1,            (D5+#REF!+#REF!)/12,                   IF(S35=2,                   (2*D65)/12,                          (((S35-2)*I65)+(2*D65))/12)),                                                                                                                                                                                                            IF(S35=1,                                                (D5+#REF!+#REF!)/1000,                  IF(S35=2,                   (2*D65)/1000,                     (((S35-2)*I65)+(2*D65))/1000)))</f>
        <v>#REF!</v>
      </c>
      <c r="T43" s="108"/>
      <c r="U43" s="498"/>
      <c r="V43" s="498"/>
      <c r="W43" s="498"/>
      <c r="X43" s="498"/>
      <c r="Y43" s="498"/>
      <c r="Z43" s="511"/>
      <c r="AA43" s="511"/>
      <c r="AB43" s="493"/>
      <c r="AC43" s="496"/>
      <c r="AD43" s="496"/>
      <c r="AE43" s="498"/>
    </row>
    <row r="44" spans="1:31" x14ac:dyDescent="0.25">
      <c r="A44" s="501"/>
      <c r="B44" s="508"/>
      <c r="C44" s="508"/>
      <c r="D44" s="508"/>
      <c r="E44" s="123"/>
      <c r="F44" s="123"/>
      <c r="G44" s="123"/>
      <c r="H44" s="123"/>
      <c r="I44" s="124"/>
      <c r="J44" s="124"/>
      <c r="K44" s="124"/>
      <c r="L44" s="288"/>
      <c r="M44" s="9"/>
      <c r="N44" s="18"/>
      <c r="O44" s="270"/>
      <c r="P44" s="271"/>
      <c r="Q44" s="271"/>
      <c r="R44" s="271"/>
      <c r="S44" s="141"/>
      <c r="T44" s="7"/>
      <c r="U44" s="498"/>
      <c r="V44" s="498"/>
      <c r="W44" s="498"/>
      <c r="X44" s="498"/>
      <c r="Y44" s="498"/>
      <c r="Z44" s="511"/>
      <c r="AA44" s="511"/>
      <c r="AB44" s="493"/>
      <c r="AC44" s="496"/>
      <c r="AD44" s="496"/>
      <c r="AE44" s="498"/>
    </row>
    <row r="45" spans="1:31" ht="15.75" x14ac:dyDescent="0.25">
      <c r="A45" s="501"/>
      <c r="B45" s="507" t="s">
        <v>65</v>
      </c>
      <c r="C45" s="507"/>
      <c r="D45" s="115" t="e">
        <f>IF(#REF!="Imperial",             (((((D5+#REF!)*(C102+#REF!+(#REF!/2))*D100)/1728)-D7)*(#REF!/100)),                    (((((D5+#REF!)*(C102+#REF!+(#REF!/2))*D100)/1000000000)-D100)*(#REF!/100)))</f>
        <v>#REF!</v>
      </c>
      <c r="E45" s="507" t="s">
        <v>65</v>
      </c>
      <c r="F45" s="507"/>
      <c r="G45" s="507"/>
      <c r="H45" s="115" t="e">
        <f>2*D45</f>
        <v>#REF!</v>
      </c>
      <c r="I45" s="116" t="s">
        <v>65</v>
      </c>
      <c r="J45" s="117"/>
      <c r="K45" s="115" t="e">
        <f>2*F104</f>
        <v>#REF!</v>
      </c>
      <c r="L45" s="114" t="s">
        <v>25</v>
      </c>
      <c r="M45" s="12"/>
      <c r="N45" s="18"/>
      <c r="O45" s="532" t="s">
        <v>114</v>
      </c>
      <c r="P45" s="532"/>
      <c r="Q45" s="532"/>
      <c r="R45" s="532"/>
      <c r="S45" s="138" t="e">
        <f>IF(#REF!="Imperial",                IF(S33=1,                    (D63+#REF!-(#REF!/2))/12,                            IF(S33=2,             (2*D63)/12,                     (((S33-2)*E63)+(2*D63))/12)),                                                                             IF(S33=1,                                                                  (D63+#REF!-(#REF!/2))/1000,                            IF(S33=2,             (2*D63)/1000,                (((S33-2)*E63)+(2*D63))/1000)))</f>
        <v>#REF!</v>
      </c>
      <c r="T45" s="7"/>
      <c r="U45" s="498"/>
      <c r="V45" s="498"/>
      <c r="W45" s="498"/>
      <c r="X45" s="498"/>
      <c r="Y45" s="498"/>
      <c r="Z45" s="511"/>
      <c r="AA45" s="511"/>
      <c r="AB45" s="493"/>
      <c r="AC45" s="496"/>
      <c r="AD45" s="496"/>
      <c r="AE45" s="498"/>
    </row>
    <row r="46" spans="1:31" ht="15.75" x14ac:dyDescent="0.25">
      <c r="A46" s="501"/>
      <c r="B46" s="118"/>
      <c r="C46" s="117"/>
      <c r="D46" s="115"/>
      <c r="E46" s="274"/>
      <c r="F46" s="119"/>
      <c r="G46" s="120"/>
      <c r="H46" s="115"/>
      <c r="I46" s="118"/>
      <c r="J46" s="117"/>
      <c r="K46" s="115"/>
      <c r="L46" s="114"/>
      <c r="M46" s="12"/>
      <c r="N46" s="18"/>
      <c r="O46" s="261"/>
      <c r="P46" s="261"/>
      <c r="Q46" s="261"/>
      <c r="R46" s="261"/>
      <c r="S46" s="141"/>
      <c r="T46" s="7"/>
      <c r="U46" s="493" t="e">
        <f>IF(V28=1,        0,          IF(V28=2,                    U28-U40,                U28-(2*U40)-(X40*V40)))</f>
        <v>#REF!</v>
      </c>
      <c r="V46" s="493" t="e">
        <f>IF(V28=1,   0,  IF(#REF!="Imperial",   IF(V28=2,    IF(U46&lt;=(F67+(((#REF!*D61*D63)/1728)*(#REF!/100))),    1,   2),     IF(U46&lt;=(G67+(((#REF!*E61*E63)/1728)*(#REF!/100))),    1,    2)),                       IF(V28=2,             IF(U46&lt;=(F67+((((#REF!)*D61*D63)/1000000000)*(#REF!/100))),      1,       2),                   IF(U46&lt;=(G67+(((#REF!*E61*E63)/1000000000)*(#REF!/100))),      1,      2))))</f>
        <v>#REF!</v>
      </c>
      <c r="W46" s="493" t="e">
        <f>IF(V28=1,       0,         IF(V28=2,           IF(U46&lt;=(2*F67),        0,           ROUNDUP((U46-(2*F67))/K67,0)),           IF(U46&lt;=(2*G67),        0,          ROUNDUP((U46-(2*G67))/L67,0))))</f>
        <v>#REF!</v>
      </c>
      <c r="X46" s="493" t="e">
        <f>V46+W46</f>
        <v>#REF!</v>
      </c>
      <c r="Y46" s="493"/>
      <c r="Z46" s="511"/>
      <c r="AA46" s="511"/>
      <c r="AB46" s="493"/>
      <c r="AC46" s="493" t="e">
        <f>IF(S33=1,          Z34,       IF(Z34=X46,        V28,                 W40))</f>
        <v>#REF!</v>
      </c>
      <c r="AD46" s="493"/>
      <c r="AE46" s="493" t="e">
        <f>IF(AC40=1,      0,            IF(AA54=0,       0,            AE40-1))</f>
        <v>#REF!</v>
      </c>
    </row>
    <row r="47" spans="1:31" ht="15.75" x14ac:dyDescent="0.25">
      <c r="A47" s="501"/>
      <c r="B47" s="118" t="s">
        <v>47</v>
      </c>
      <c r="C47" s="117"/>
      <c r="D47" s="115" t="e">
        <f>IF(#REF!="Imperial",                                     (((D102*#REF!*D100)/1728)*(#REF!/100))+((((#REF!-(#REF!/2))*(D5+#REF!+#REF!)*D100)/1728)*(#REF!/100)),                                                                                                                                            (((D102*#REF!*D100)/1000000000)*(#REF!/100))+((((#REF!-(#REF!/2))*(D5+#REF!+#REF!)*D100)/1000000000)*(#REF!/100)))</f>
        <v>#REF!</v>
      </c>
      <c r="E47" s="505" t="s">
        <v>47</v>
      </c>
      <c r="F47" s="505"/>
      <c r="G47" s="505"/>
      <c r="H47" s="115" t="e">
        <f>IF(#REF!="Imperial",                2*(((D100*D102*#REF!)/1728)*(#REF!/100)),                            2*(((D100*D102*#REF!)/1000000000)*(#REF!/100)))</f>
        <v>#REF!</v>
      </c>
      <c r="I47" s="118" t="s">
        <v>47</v>
      </c>
      <c r="J47" s="117"/>
      <c r="K47" s="115" t="e">
        <f>IF(#REF!="Imperial",                      2*(((D100*(#REF!-(#REF!/2))*(C103+#REF!))/1728)*(#REF!/100)),                      2*(((D100*(#REF!-(#REF!/2))*(C103+#REF!))/1000000000)*(#REF!/100)))</f>
        <v>#REF!</v>
      </c>
      <c r="L47" s="114" t="e">
        <f>IF(#REF!="Imperial",           (((E100*(E102)*(D5+#REF!))/1728)-D7)*(#REF!/100),                    (((E100*(E102)*(D5+#REF!))/1000000000)-D7)*(#REF!/100))</f>
        <v>#REF!</v>
      </c>
      <c r="M47" s="9"/>
      <c r="N47" s="18"/>
      <c r="O47" s="261" t="s">
        <v>116</v>
      </c>
      <c r="P47" s="147" t="e">
        <f>Q13+Q17+Q21+Q25</f>
        <v>#REF!</v>
      </c>
      <c r="Q47" s="602" t="s">
        <v>117</v>
      </c>
      <c r="R47" s="602"/>
      <c r="S47" s="139" t="e">
        <f>R13+R17+R21+R25</f>
        <v>#REF!</v>
      </c>
      <c r="U47" s="493"/>
      <c r="V47" s="493"/>
      <c r="W47" s="493"/>
      <c r="X47" s="493"/>
      <c r="Y47" s="493"/>
      <c r="Z47" s="511"/>
      <c r="AA47" s="511"/>
      <c r="AB47" s="493"/>
      <c r="AC47" s="493"/>
      <c r="AD47" s="493"/>
      <c r="AE47" s="493"/>
    </row>
    <row r="48" spans="1:31" ht="23.25" x14ac:dyDescent="0.25">
      <c r="A48" s="501"/>
      <c r="B48" s="117"/>
      <c r="C48" s="117"/>
      <c r="D48" s="115"/>
      <c r="E48" s="117"/>
      <c r="F48" s="288"/>
      <c r="G48" s="117"/>
      <c r="H48" s="115"/>
      <c r="I48" s="117"/>
      <c r="J48" s="117"/>
      <c r="K48" s="115"/>
      <c r="L48" s="114"/>
      <c r="M48" s="9"/>
      <c r="N48" s="18"/>
      <c r="O48" s="261"/>
      <c r="P48" s="261"/>
      <c r="Q48" s="261"/>
      <c r="R48" s="261"/>
      <c r="S48" s="141"/>
      <c r="U48" s="497"/>
      <c r="V48" s="497"/>
      <c r="W48" s="497"/>
      <c r="X48" s="497"/>
      <c r="Y48" s="497"/>
      <c r="Z48" s="497"/>
      <c r="AA48" s="497"/>
      <c r="AB48" s="497"/>
      <c r="AC48" s="158"/>
      <c r="AD48" s="158"/>
      <c r="AE48" s="158"/>
    </row>
    <row r="49" spans="1:31" ht="23.25" x14ac:dyDescent="0.25">
      <c r="A49" s="501"/>
      <c r="B49" s="506" t="s">
        <v>50</v>
      </c>
      <c r="C49" s="506"/>
      <c r="D49" s="122" t="e">
        <f>D7+D47+D19</f>
        <v>#REF!</v>
      </c>
      <c r="E49" s="506" t="s">
        <v>50</v>
      </c>
      <c r="F49" s="506"/>
      <c r="G49" s="506"/>
      <c r="H49" s="122" t="e">
        <f>H45+H47+H7</f>
        <v>#REF!</v>
      </c>
      <c r="I49" s="506" t="s">
        <v>50</v>
      </c>
      <c r="J49" s="506"/>
      <c r="K49" s="122" t="e">
        <f>K45+K47</f>
        <v>#REF!</v>
      </c>
      <c r="L49" s="114" t="s">
        <v>41</v>
      </c>
      <c r="M49" s="9"/>
      <c r="N49" s="18"/>
      <c r="O49" s="147" t="e">
        <f>(P17+P25)*0.27</f>
        <v>#REF!</v>
      </c>
      <c r="P49" s="147"/>
      <c r="Q49" s="147"/>
      <c r="R49" s="147"/>
      <c r="S49" s="272"/>
      <c r="U49" s="497"/>
      <c r="V49" s="497"/>
      <c r="W49" s="497"/>
      <c r="X49" s="497"/>
      <c r="Y49" s="497"/>
      <c r="Z49" s="497"/>
      <c r="AA49" s="497"/>
      <c r="AB49" s="497"/>
      <c r="AC49" s="158"/>
      <c r="AD49" s="158"/>
      <c r="AE49" s="158"/>
    </row>
    <row r="50" spans="1:31" ht="23.25" x14ac:dyDescent="0.25">
      <c r="A50" s="125"/>
      <c r="B50" s="125"/>
      <c r="C50" s="125"/>
      <c r="D50" s="125"/>
      <c r="E50" s="125"/>
      <c r="F50" s="288"/>
      <c r="G50" s="288"/>
      <c r="H50" s="125"/>
      <c r="I50" s="125"/>
      <c r="J50" s="125"/>
      <c r="K50" s="125"/>
      <c r="L50" s="121"/>
      <c r="M50" s="9"/>
      <c r="N50" s="18"/>
      <c r="O50" s="276"/>
      <c r="P50" s="276"/>
      <c r="Q50" s="276"/>
      <c r="R50" s="276"/>
      <c r="S50" s="141"/>
      <c r="U50" s="498" t="s">
        <v>119</v>
      </c>
      <c r="V50" s="498" t="s">
        <v>120</v>
      </c>
      <c r="W50" s="498" t="s">
        <v>121</v>
      </c>
      <c r="X50" s="498" t="s">
        <v>122</v>
      </c>
      <c r="Y50" s="498" t="s">
        <v>123</v>
      </c>
      <c r="Z50" s="498"/>
      <c r="AA50" s="496" t="s">
        <v>124</v>
      </c>
      <c r="AB50" s="135"/>
      <c r="AC50" s="158"/>
      <c r="AD50" s="158"/>
      <c r="AE50" s="158"/>
    </row>
    <row r="51" spans="1:31" ht="23.25" x14ac:dyDescent="0.25">
      <c r="A51" s="125"/>
      <c r="B51" s="125"/>
      <c r="C51" s="125"/>
      <c r="D51" s="539" t="s">
        <v>127</v>
      </c>
      <c r="E51" s="539" t="s">
        <v>128</v>
      </c>
      <c r="F51" s="125"/>
      <c r="G51" s="125"/>
      <c r="H51" s="125"/>
      <c r="I51" s="125"/>
      <c r="J51" s="125"/>
      <c r="K51" s="125"/>
      <c r="L51" s="114" t="e">
        <f>IF(#REF!="Imperial",                (((E100*(E102)*#REF!)/1728)*(#REF!/100)),                     (((E100*(E102)*#REF!)/1000000000)*(#REF!/100)))</f>
        <v>#REF!</v>
      </c>
      <c r="M51" s="290"/>
      <c r="N51" s="18"/>
      <c r="O51" s="148" t="s">
        <v>129</v>
      </c>
      <c r="P51" s="149"/>
      <c r="Q51" s="149"/>
      <c r="R51" s="149"/>
      <c r="S51" s="146" t="e">
        <f>P13+P17+P21+P25</f>
        <v>#REF!</v>
      </c>
      <c r="U51" s="498"/>
      <c r="V51" s="498"/>
      <c r="W51" s="498"/>
      <c r="X51" s="498"/>
      <c r="Y51" s="498"/>
      <c r="Z51" s="498"/>
      <c r="AA51" s="496"/>
      <c r="AB51" s="135"/>
      <c r="AC51" s="158"/>
      <c r="AD51" s="158"/>
      <c r="AE51" s="158"/>
    </row>
    <row r="52" spans="1:31" ht="23.25" x14ac:dyDescent="0.25">
      <c r="A52" s="125"/>
      <c r="B52" s="125"/>
      <c r="C52" s="125"/>
      <c r="D52" s="539"/>
      <c r="E52" s="539"/>
      <c r="F52" s="125"/>
      <c r="G52" s="125"/>
      <c r="H52" s="125"/>
      <c r="I52" s="125"/>
      <c r="J52" s="125"/>
      <c r="K52" s="125"/>
      <c r="L52" s="114"/>
      <c r="M52" s="12"/>
      <c r="N52" s="18"/>
      <c r="O52" s="20"/>
      <c r="P52" s="105"/>
      <c r="Q52" s="16"/>
      <c r="R52" s="16"/>
      <c r="S52" s="16"/>
      <c r="U52" s="498"/>
      <c r="V52" s="498"/>
      <c r="W52" s="498"/>
      <c r="X52" s="498"/>
      <c r="Y52" s="498"/>
      <c r="Z52" s="498"/>
      <c r="AA52" s="496"/>
      <c r="AB52" s="135"/>
      <c r="AC52" s="158"/>
      <c r="AD52" s="158"/>
      <c r="AE52" s="158"/>
    </row>
    <row r="53" spans="1:31" ht="23.25" x14ac:dyDescent="0.25">
      <c r="A53" s="125"/>
      <c r="B53" s="125"/>
      <c r="C53" s="125"/>
      <c r="D53" s="539"/>
      <c r="E53" s="539"/>
      <c r="F53" s="125"/>
      <c r="G53" s="125"/>
      <c r="H53" s="125"/>
      <c r="I53" s="125"/>
      <c r="J53" s="125"/>
      <c r="K53" s="125"/>
      <c r="L53" s="114" t="s">
        <v>50</v>
      </c>
      <c r="O53" s="20"/>
      <c r="P53" s="105"/>
      <c r="Q53" s="16"/>
      <c r="R53" s="16"/>
      <c r="S53" s="16"/>
      <c r="U53" s="498"/>
      <c r="V53" s="498"/>
      <c r="W53" s="498"/>
      <c r="X53" s="498"/>
      <c r="Y53" s="498"/>
      <c r="Z53" s="498"/>
      <c r="AA53" s="496"/>
      <c r="AB53" s="135"/>
      <c r="AC53" s="158"/>
      <c r="AD53" s="158"/>
      <c r="AE53" s="158"/>
    </row>
    <row r="54" spans="1:31" ht="23.25" x14ac:dyDescent="0.25">
      <c r="A54" s="125"/>
      <c r="B54" s="125"/>
      <c r="C54" s="125"/>
      <c r="D54" s="125"/>
      <c r="E54" s="125"/>
      <c r="F54" s="288"/>
      <c r="G54" s="288"/>
      <c r="H54" s="125"/>
      <c r="I54" s="125"/>
      <c r="J54" s="125"/>
      <c r="K54" s="125"/>
      <c r="L54" s="114"/>
      <c r="O54" s="20"/>
      <c r="P54" s="105"/>
      <c r="Q54" s="16"/>
      <c r="R54" s="16"/>
      <c r="S54" s="16"/>
      <c r="U54" s="497" t="e">
        <f>IF(V28=1,            0,        IF(Z34&lt;=3,            0,          Z34-1-2))</f>
        <v>#REF!</v>
      </c>
      <c r="V54" s="497" t="e">
        <f>IF(Z34=1,          1,               Z34-1)</f>
        <v>#REF!</v>
      </c>
      <c r="W54" s="497" t="e">
        <f>IF(V28=1,        IF(V54=1,        D13,             K13),               IF(V28=2,              IF(V54=1,           H13,               4*F67),                IF(V54=1,         H13+(X28*L15),      (4*F67)+(2*X28*G67))))</f>
        <v>#REF!</v>
      </c>
      <c r="X54" s="497" t="e">
        <f>IF(U54=0,   0,   IF(V28=1,    IF(#REF!="Imperial",        U54*(K67+(((I61*(#REF!-(#REF!/2))*I65)/1728)*(#REF!/100))),      U54*(K67+(((I61*(#REF!-(#REF!/2))*I65)/1000000000)*(#REF!/100)))),                                                    IF(V28=2,            2*U54*K67,        (2*U54*K67)+(X28*U54*L67))))</f>
        <v>#REF!</v>
      </c>
      <c r="Y54" s="497" t="e">
        <f>W54+X54</f>
        <v>#REF!</v>
      </c>
      <c r="Z54" s="497"/>
      <c r="AA54" s="495" t="e">
        <f>IF(U28&lt;=Y54,         0,            U28-Y54)</f>
        <v>#REF!</v>
      </c>
      <c r="AB54" s="135"/>
      <c r="AC54" s="158"/>
      <c r="AD54" s="158"/>
      <c r="AE54" s="158"/>
    </row>
    <row r="55" spans="1:31" ht="23.25" x14ac:dyDescent="0.25">
      <c r="A55" s="523" t="str">
        <f>IF($H$15="Imperial","Imperial","Metric")</f>
        <v>Metric</v>
      </c>
      <c r="B55" s="523"/>
      <c r="C55" s="288">
        <f>119.76+60.08</f>
        <v>179.84</v>
      </c>
      <c r="D55" s="288" t="e">
        <f>G67-E55</f>
        <v>#REF!</v>
      </c>
      <c r="E55" s="288" t="e">
        <f>((12*E61*E63)/1728)*0.4</f>
        <v>#REF!</v>
      </c>
      <c r="F55" s="288" t="e">
        <f>((D61*(D63+6)*6)/1728)*0.4</f>
        <v>#REF!</v>
      </c>
      <c r="G55" s="288" t="e">
        <f>(((#REF!-4.5)*D61*C65)/1728)*0.4</f>
        <v>#REF!</v>
      </c>
      <c r="H55" s="288" t="e">
        <f>((((#REF!-4.5)*I61*H65))/1728)*0.4</f>
        <v>#REF!</v>
      </c>
      <c r="I55" s="288"/>
      <c r="J55" s="288"/>
      <c r="K55" s="288" t="e">
        <f>H67+I67</f>
        <v>#REF!</v>
      </c>
      <c r="L55" s="114" t="e">
        <f>L47+L51+D7</f>
        <v>#REF!</v>
      </c>
      <c r="O55" s="526" t="s">
        <v>132</v>
      </c>
      <c r="P55" s="526"/>
      <c r="Q55" s="526"/>
      <c r="R55" s="150" t="e">
        <f>(F67*1728)/D65</f>
        <v>#REF!</v>
      </c>
      <c r="S55" s="104"/>
      <c r="U55" s="497"/>
      <c r="V55" s="497"/>
      <c r="W55" s="497"/>
      <c r="X55" s="497"/>
      <c r="Y55" s="497"/>
      <c r="Z55" s="497"/>
      <c r="AA55" s="495"/>
      <c r="AB55" s="135"/>
      <c r="AC55" s="158"/>
      <c r="AD55" s="158"/>
      <c r="AE55" s="158"/>
    </row>
    <row r="56" spans="1:31" ht="23.25" x14ac:dyDescent="0.25">
      <c r="A56" s="288"/>
      <c r="B56" s="288"/>
      <c r="C56" s="288"/>
      <c r="D56" s="288"/>
      <c r="E56" s="288"/>
      <c r="F56" s="288"/>
      <c r="G56" s="288"/>
      <c r="H56" s="288"/>
      <c r="I56" s="288"/>
      <c r="J56" s="288"/>
      <c r="K56" s="288"/>
      <c r="L56" s="288"/>
      <c r="O56" s="276"/>
      <c r="P56" s="151"/>
      <c r="Q56" s="276"/>
      <c r="R56" s="266"/>
      <c r="S56" s="16"/>
      <c r="U56" s="498" t="s">
        <v>133</v>
      </c>
      <c r="V56" s="498" t="s">
        <v>134</v>
      </c>
      <c r="W56" s="288"/>
      <c r="X56" s="288"/>
      <c r="Y56" s="122"/>
      <c r="Z56" s="122"/>
      <c r="AA56" s="127"/>
      <c r="AB56" s="135"/>
      <c r="AC56" s="158"/>
      <c r="AD56" s="158"/>
      <c r="AE56" s="158"/>
    </row>
    <row r="57" spans="1:31" ht="23.25" x14ac:dyDescent="0.25">
      <c r="A57" s="518" t="str">
        <f>IF($H$37&lt;2,"All Chamber Layers","Top Chamber Layer")</f>
        <v>All Chamber Layers</v>
      </c>
      <c r="B57" s="518"/>
      <c r="C57" s="518" t="s">
        <v>138</v>
      </c>
      <c r="D57" s="518"/>
      <c r="E57" s="518"/>
      <c r="F57" s="518"/>
      <c r="G57" s="518"/>
      <c r="H57" s="518" t="s">
        <v>139</v>
      </c>
      <c r="I57" s="518"/>
      <c r="J57" s="518"/>
      <c r="K57" s="518"/>
      <c r="L57" s="518"/>
      <c r="O57" s="525" t="s">
        <v>140</v>
      </c>
      <c r="P57" s="525"/>
      <c r="Q57" s="525"/>
      <c r="R57" s="266" t="e">
        <f>(F67*1728)/D63</f>
        <v>#REF!</v>
      </c>
      <c r="S57" s="16"/>
      <c r="U57" s="498"/>
      <c r="V57" s="498"/>
      <c r="W57" s="152" t="s">
        <v>141</v>
      </c>
      <c r="X57" s="263" t="e">
        <f>V28</f>
        <v>#REF!</v>
      </c>
      <c r="Y57" s="122" t="s">
        <v>142</v>
      </c>
      <c r="Z57" s="122"/>
      <c r="AA57" s="127"/>
      <c r="AB57" s="135"/>
      <c r="AC57" s="158"/>
      <c r="AD57" s="158"/>
      <c r="AE57" s="158"/>
    </row>
    <row r="58" spans="1:31" ht="23.25" x14ac:dyDescent="0.25">
      <c r="A58" s="126"/>
      <c r="B58" s="126"/>
      <c r="C58" s="510" t="s">
        <v>143</v>
      </c>
      <c r="D58" s="501" t="s">
        <v>144</v>
      </c>
      <c r="E58" s="501" t="s">
        <v>145</v>
      </c>
      <c r="F58" s="501" t="s">
        <v>146</v>
      </c>
      <c r="G58" s="501" t="s">
        <v>147</v>
      </c>
      <c r="H58" s="510" t="s">
        <v>143</v>
      </c>
      <c r="I58" s="501" t="s">
        <v>144</v>
      </c>
      <c r="J58" s="501" t="s">
        <v>145</v>
      </c>
      <c r="K58" s="501" t="s">
        <v>146</v>
      </c>
      <c r="L58" s="501" t="s">
        <v>147</v>
      </c>
      <c r="O58" s="276"/>
      <c r="P58" s="151"/>
      <c r="Q58" s="276"/>
      <c r="R58" s="266"/>
      <c r="S58" s="16"/>
      <c r="U58" s="498"/>
      <c r="V58" s="498"/>
      <c r="W58" s="288"/>
      <c r="X58" s="288"/>
      <c r="Y58" s="122"/>
      <c r="Z58" s="122"/>
      <c r="AA58" s="127"/>
      <c r="AB58" s="135"/>
      <c r="AC58" s="158"/>
      <c r="AD58" s="158"/>
      <c r="AE58" s="158"/>
    </row>
    <row r="59" spans="1:31" ht="23.25" x14ac:dyDescent="0.25">
      <c r="A59" s="458" t="e">
        <f>$H$19</f>
        <v>#REF!</v>
      </c>
      <c r="B59" s="127"/>
      <c r="C59" s="510"/>
      <c r="D59" s="501"/>
      <c r="E59" s="501"/>
      <c r="F59" s="501"/>
      <c r="G59" s="501"/>
      <c r="H59" s="510"/>
      <c r="I59" s="501"/>
      <c r="J59" s="501"/>
      <c r="K59" s="501"/>
      <c r="L59" s="501"/>
      <c r="O59" s="526" t="s">
        <v>148</v>
      </c>
      <c r="P59" s="526"/>
      <c r="Q59" s="526"/>
      <c r="R59" s="272" t="e">
        <f>(G67*1728)/E65</f>
        <v>#REF!</v>
      </c>
      <c r="S59" s="95"/>
      <c r="U59" s="498"/>
      <c r="V59" s="498"/>
      <c r="W59" s="152" t="s">
        <v>149</v>
      </c>
      <c r="X59" s="263" t="e">
        <f>U60+V60</f>
        <v>#REF!</v>
      </c>
      <c r="Y59" s="122" t="s">
        <v>150</v>
      </c>
      <c r="Z59" s="122"/>
      <c r="AA59" s="127"/>
      <c r="AB59" s="135"/>
      <c r="AC59" s="158"/>
      <c r="AD59" s="158"/>
      <c r="AE59" s="158"/>
    </row>
    <row r="60" spans="1:31" ht="23.25" x14ac:dyDescent="0.25">
      <c r="A60" s="458"/>
      <c r="B60" s="127"/>
      <c r="C60" s="510"/>
      <c r="D60" s="501"/>
      <c r="E60" s="501"/>
      <c r="F60" s="501"/>
      <c r="G60" s="501"/>
      <c r="H60" s="510"/>
      <c r="I60" s="501"/>
      <c r="J60" s="501"/>
      <c r="K60" s="501"/>
      <c r="L60" s="501"/>
      <c r="M60" s="95"/>
      <c r="N60" s="18"/>
      <c r="O60" s="276"/>
      <c r="P60" s="151"/>
      <c r="Q60" s="276"/>
      <c r="R60" s="266"/>
      <c r="S60" s="16"/>
      <c r="U60" s="497" t="e">
        <f>IF(AA54=0,           0,          IF(Z34&lt;=2,          IF(#REF!="Imperial",                         IF(AA54&lt;=(F67+(((D61*(#REF!-(#REF!/2))*D65)/1728)*(#REF!/100))-(((D7+D9)-F67)+(((D61*(C63+#REF!+#REF!-(#REF!/2))*#REF!)/1728)*(#REF!/100))+(((D61*(#REF!-(#REF!/2))*(D5-C65))/1728)*(#REF!/100)))),    1,   2),                                                                IF(AA54&lt;=(F67+(((D61*(#REF!-(#REF!/2))*D65)/1000000000)*(#REF!/100))-(((D7+D9)-F67)+(((D61*(C63+#REF!+#REF!-(#REF!/2))*#REF!)/1000000000)*(#REF!/100))+(((D61*(#REF!-(#REF!/2))*(D5-C65))/1000000000)*(#REF!/100)))),    1,   2)),                             IF(#REF!="Imperial",                                                               IF(AA54&lt;=(K67+(((I61*(#REF!-(#REF!/2))*I65)/1728)*(#REF!/100))),                   1,        2),                  IF(AA54&lt;=(K67+(((I61*(#REF!-(#REF!/2))*I65)/1000000000)*(#REF!/100))),         1,           2))))</f>
        <v>#REF!</v>
      </c>
      <c r="V60" s="497" t="e">
        <f>IF(AA54=0,        0,                 IF(Z34&lt;=2,          IF(#REF!="Imperial",           IF(AA54&lt;=(2*(F67-((D7+D9)-F67)-(((D61*D63*#REF!)/1728)*(#REF!/100)))),        0,                                                                               ROUNDUP((AA54-(2*(F67-((D7+D9)-F67)-(((D61*D63*#REF!)/1728)*(#REF!/100)))))/(G67-((D7+L7)-G67)-(((E61*E63*#REF!)/1728)*(#REF!/100))),0)),                                                                                                                                                                   IF(AA54&lt;=(2*(F67-((D7+D9)-F67)-(((D61*D63*#REF!)/1000000000)*(#REF!/100)))),      0,          ROUNDUP((AA54-(2*(F67-((D7+D9)-F67)-(((D61*D63*#REF!)/1000000000)*(#REF!/100)))))/(G67-((D7+L7)-G67)-(((E61*E63*#REF!)/1000000000)*(#REF!/100))),0))),             IF(AA54&lt;=(2*K67),      0,           ROUNDUP((AA54-(2*K67))/L67,0))      ))</f>
        <v>#REF!</v>
      </c>
      <c r="W60" s="152"/>
      <c r="X60" s="263"/>
      <c r="Y60" s="122"/>
      <c r="Z60" s="122"/>
      <c r="AA60" s="127"/>
      <c r="AB60" s="135"/>
      <c r="AC60" s="158"/>
      <c r="AD60" s="158"/>
      <c r="AE60" s="158"/>
    </row>
    <row r="61" spans="1:31" ht="23.25" x14ac:dyDescent="0.25">
      <c r="A61" s="458"/>
      <c r="B61" s="127" t="str">
        <f>IF($H$15="Imperial","Height (in)","Height (mm)")</f>
        <v>Height (mm)</v>
      </c>
      <c r="C61" s="127" t="e">
        <f>IF($H$15="Imperial",                IF($H$19="SC-18",       18,      IF($H$19="SC-44",            44,            34)),             IF($H$19="SC-18",       457,         IF($H$19="SC-44",                  1117,              864)))</f>
        <v>#REF!</v>
      </c>
      <c r="D61" s="127" t="e">
        <f>IF($H$37=1,          C61+$H$29+$H$27,           C61+$H$27+($H$39/2))</f>
        <v>#REF!</v>
      </c>
      <c r="E61" s="127" t="e">
        <f>IF($H$37=1,         C61+$H$29+$H$27,           C61+$H$27+($H$39/2))</f>
        <v>#REF!</v>
      </c>
      <c r="F61" s="127"/>
      <c r="G61" s="127"/>
      <c r="H61" s="127" t="e">
        <f>IF($H$15="Imperial",         IF($H$19="SC-18",             18,           IF($H$19="SC-44",     44,     34)),             IF($H$19="SC-18",             457,            IF($H$19="SC-44",      1117,   864)))</f>
        <v>#REF!</v>
      </c>
      <c r="I61" s="127" t="e">
        <f>IF($H$37=1,       H61+$H$29+$H$27,           H61+$H$27+($H$39/2))</f>
        <v>#REF!</v>
      </c>
      <c r="J61" s="127" t="e">
        <f>IF($H$37=1,           H61+$H$29+$H$27,         H61+#REF!+($H$39/2))</f>
        <v>#REF!</v>
      </c>
      <c r="K61" s="128"/>
      <c r="L61" s="127"/>
      <c r="M61" s="18"/>
      <c r="N61" s="18"/>
      <c r="O61" s="525" t="s">
        <v>153</v>
      </c>
      <c r="P61" s="525"/>
      <c r="Q61" s="525"/>
      <c r="R61" s="266" t="e">
        <f>(G67*1728)/E63</f>
        <v>#REF!</v>
      </c>
      <c r="S61" s="16"/>
      <c r="U61" s="497"/>
      <c r="V61" s="497"/>
      <c r="W61" s="152" t="s">
        <v>154</v>
      </c>
      <c r="X61" s="263" t="e">
        <f>IF(AA54=0,              0,         X57-X59)</f>
        <v>#REF!</v>
      </c>
      <c r="Y61" s="288"/>
      <c r="Z61" s="288" t="e">
        <f>AA54-(2*(K67+(((6*I61*I65)/1728)*(#REF!/100))))</f>
        <v>#REF!</v>
      </c>
      <c r="AA61" s="127"/>
      <c r="AB61" s="135"/>
      <c r="AC61" s="158"/>
      <c r="AD61" s="158"/>
      <c r="AE61" s="158"/>
    </row>
    <row r="62" spans="1:31" ht="23.25" x14ac:dyDescent="0.25">
      <c r="A62" s="458"/>
      <c r="B62" s="127"/>
      <c r="C62" s="127"/>
      <c r="D62" s="127"/>
      <c r="E62" s="127"/>
      <c r="F62" s="127"/>
      <c r="G62" s="127"/>
      <c r="H62" s="127"/>
      <c r="I62" s="127"/>
      <c r="J62" s="127"/>
      <c r="K62" s="128"/>
      <c r="L62" s="127"/>
      <c r="O62" s="152"/>
      <c r="P62" s="152"/>
      <c r="Q62" s="152"/>
      <c r="R62" s="266"/>
      <c r="S62" s="16"/>
      <c r="U62" s="135"/>
      <c r="V62" s="135"/>
      <c r="W62" s="152"/>
      <c r="X62" s="263"/>
      <c r="Y62" s="122"/>
      <c r="Z62" s="122"/>
      <c r="AA62" s="127"/>
      <c r="AB62" s="135"/>
      <c r="AC62" s="158"/>
      <c r="AD62" s="158"/>
      <c r="AE62" s="158"/>
    </row>
    <row r="63" spans="1:31" ht="23.25" x14ac:dyDescent="0.25">
      <c r="A63" s="458"/>
      <c r="B63" s="127" t="str">
        <f>IF($H$15="Imperial","Width (in)","Width (mm)")</f>
        <v>Width (mm)</v>
      </c>
      <c r="C63" s="127" t="e">
        <f>IF($H$15="Imperial",        IF($H$19="SC-18",             38,                    IF($H$19="SC-44",       76.25,      60)),        IF($H$19="SC-18",             965.2,         IF($H$19="SC-44",      1937,       1524)))</f>
        <v>#REF!</v>
      </c>
      <c r="D63" s="127" t="e">
        <f>IF(#REF!="Imperial",           C63+($H$45/2)+#REF!,                 C63+($H$45/2)+#REF!)</f>
        <v>#REF!</v>
      </c>
      <c r="E63" s="127" t="e">
        <f>C63+$H$45</f>
        <v>#REF!</v>
      </c>
      <c r="F63" s="127"/>
      <c r="G63" s="127"/>
      <c r="H63" s="127" t="e">
        <f>IF($H$15="Imperial",          IF($H$19="SC-18",             38,          IF($H$19="SC-44",       76.25,       60)),           IF($H$19="SC-18",             965.2,            IF($H$19="SC-44",      1937,       1524)))</f>
        <v>#REF!</v>
      </c>
      <c r="I63" s="127" t="e">
        <f>IF(#REF!="Imperial",                 H63+($H$45/2)+(#REF!),                 H63+($H$45/2)+(#REF!))</f>
        <v>#REF!</v>
      </c>
      <c r="J63" s="127" t="e">
        <f>H63+$H$45</f>
        <v>#REF!</v>
      </c>
      <c r="K63" s="128"/>
      <c r="L63" s="127"/>
      <c r="O63" s="152"/>
      <c r="P63" s="152"/>
      <c r="Q63" s="152"/>
      <c r="R63" s="272"/>
      <c r="S63" s="95"/>
      <c r="U63" s="132"/>
      <c r="V63" s="132"/>
      <c r="W63" s="152" t="s">
        <v>155</v>
      </c>
      <c r="X63" s="263" t="e">
        <f>IF(X57=X59,       0,         IF(AA54=0,       0,     V54))</f>
        <v>#REF!</v>
      </c>
      <c r="Y63" s="122"/>
      <c r="Z63" s="122" t="e">
        <f>Z61/L67</f>
        <v>#REF!</v>
      </c>
      <c r="AA63" s="127"/>
      <c r="AB63" s="135"/>
      <c r="AC63" s="158"/>
      <c r="AD63" s="158"/>
      <c r="AE63" s="158"/>
    </row>
    <row r="64" spans="1:31" ht="23.25" x14ac:dyDescent="0.25">
      <c r="A64" s="458"/>
      <c r="B64" s="127"/>
      <c r="C64" s="127"/>
      <c r="D64" s="127"/>
      <c r="E64" s="127"/>
      <c r="F64" s="127"/>
      <c r="G64" s="127"/>
      <c r="H64" s="127"/>
      <c r="I64" s="127"/>
      <c r="J64" s="127"/>
      <c r="K64" s="128"/>
      <c r="L64" s="127"/>
      <c r="O64" s="276"/>
      <c r="P64" s="151"/>
      <c r="Q64" s="276"/>
      <c r="R64" s="266"/>
      <c r="S64" s="16"/>
      <c r="U64" s="132"/>
      <c r="V64" s="132"/>
      <c r="W64" s="152"/>
      <c r="X64" s="263"/>
      <c r="Y64" s="122"/>
      <c r="Z64" s="122"/>
      <c r="AA64" s="127"/>
      <c r="AB64" s="135"/>
      <c r="AC64" s="158"/>
      <c r="AD64" s="158"/>
      <c r="AE64" s="158"/>
    </row>
    <row r="65" spans="1:31" ht="23.25" x14ac:dyDescent="0.25">
      <c r="A65" s="458"/>
      <c r="B65" s="127" t="str">
        <f>IF($H$15="Imperial","Installed Length (in)","Installed Length (mm)")</f>
        <v>Installed Length (mm)</v>
      </c>
      <c r="C65" s="127" t="e">
        <f>IF($H$15="Imperial",         IF($H$19="SC-18",         96,          IF($H$19="SC-44",             82.25,            IF($H$19="SC-34E",             97,            95))),                        IF($H$19="SC-18",                        2438.4,                                    IF($H$19="SC-44",            2089.15,                  IF($H$19="SC-34E",              2463.8,                 2413))))</f>
        <v>#REF!</v>
      </c>
      <c r="D65" s="127" t="e">
        <f>C65+#REF!</f>
        <v>#REF!</v>
      </c>
      <c r="E65" s="127" t="e">
        <f>C65+#REF!</f>
        <v>#REF!</v>
      </c>
      <c r="F65" s="127"/>
      <c r="G65" s="127"/>
      <c r="H65" s="127" t="e">
        <f>IF($H$15="Imperial",         IF($H$19="SC-18",             91.25,            IF($H$19="SC-44",       75,            IF($H$19="SC-34E",         91,        89))),         IF($H$19="SC-18",             2317.75,              IF($H$19="SC-44",      1905,            IF($H$19="SC-34E",        2311.4,        2260.6))))</f>
        <v>#REF!</v>
      </c>
      <c r="I65" s="127" t="e">
        <f>H65</f>
        <v>#REF!</v>
      </c>
      <c r="J65" s="127" t="e">
        <f>H65</f>
        <v>#REF!</v>
      </c>
      <c r="K65" s="128"/>
      <c r="L65" s="127"/>
      <c r="O65" s="525" t="s">
        <v>156</v>
      </c>
      <c r="P65" s="525"/>
      <c r="Q65" s="525"/>
      <c r="R65" s="266" t="e">
        <f>(K67*1728)/I65</f>
        <v>#REF!</v>
      </c>
      <c r="S65" s="16"/>
      <c r="U65" s="132"/>
      <c r="V65" s="132"/>
      <c r="W65" s="152" t="s">
        <v>157</v>
      </c>
      <c r="X65" s="263" t="e">
        <f>IF(AA54=0,          V54,        Z34)</f>
        <v>#REF!</v>
      </c>
      <c r="Y65" s="122"/>
      <c r="Z65" s="122"/>
      <c r="AA65" s="127"/>
      <c r="AB65" s="135"/>
      <c r="AC65" s="158"/>
      <c r="AD65" s="158"/>
      <c r="AE65" s="158"/>
    </row>
    <row r="66" spans="1:31" ht="23.25" x14ac:dyDescent="0.25">
      <c r="A66" s="458"/>
      <c r="B66" s="127"/>
      <c r="C66" s="127"/>
      <c r="D66" s="127"/>
      <c r="E66" s="127"/>
      <c r="F66" s="127"/>
      <c r="G66" s="127"/>
      <c r="H66" s="127"/>
      <c r="I66" s="127"/>
      <c r="J66" s="127"/>
      <c r="K66" s="128"/>
      <c r="L66" s="127"/>
      <c r="O66" s="276"/>
      <c r="P66" s="151"/>
      <c r="Q66" s="276"/>
      <c r="R66" s="266"/>
      <c r="S66" s="16"/>
      <c r="Y66" s="103"/>
      <c r="Z66" s="103"/>
      <c r="AA66" s="7"/>
      <c r="AB66" s="18"/>
      <c r="AC66" s="2"/>
      <c r="AD66" s="2"/>
      <c r="AE66" s="2"/>
    </row>
    <row r="67" spans="1:31" ht="23.25" x14ac:dyDescent="0.25">
      <c r="A67" s="458"/>
      <c r="B67" s="127" t="str">
        <f>IF($H$15="Imperial","Storage Volume (ft²)","Storage Volume (m²)")</f>
        <v>Storage Volume (m²)</v>
      </c>
      <c r="C67" s="127" t="e">
        <f>IF($H$15="Imperial",             IF($H$19="SC-18",             22.47,          IF(#REF!="SC-44",       103.1,           IF(#REF!="SC-34E",        77.6,         74.53))),                      IF($H$19="SC-18",             0.64,                                   IF(#REF!="SC-44",         2.92,         IF(#REF!="SC-34E",        2.2,          2.11))))</f>
        <v>#REF!</v>
      </c>
      <c r="D67" s="127" t="e">
        <f>IF($H$15="Imperial",               ((((D61*D63*D65)/1728)-C67)*($H$33/100)),                         ((((D61*D63*D65)/1000000000)-C67)*($H$33/100)))</f>
        <v>#REF!</v>
      </c>
      <c r="E67" s="127" t="e">
        <f>IF($H$15="Imperial",                 ((((E61*E63*E65)/1728)-C67)*($H$33/100)),           ((((E61*E63*E65)/1000000000)-C67)*($H$33/100)))</f>
        <v>#REF!</v>
      </c>
      <c r="F67" s="127" t="e">
        <f>C67+D67</f>
        <v>#REF!</v>
      </c>
      <c r="G67" s="127" t="e">
        <f>C67+E67</f>
        <v>#REF!</v>
      </c>
      <c r="H67" s="127" t="e">
        <f>IF($H$15="Imperial",        IF($H$19="SC-18",             21.36,            IF(#REF!="SC-44",         94.02,         IF(#REF!="SC-34E",         72.8,         69.83))),              IF($H$19="SC-18",             0.6,               IF(#REF!="SC-44",        2.66,        IF(#REF!="SC-34E",        2.06,         1.98))))</f>
        <v>#REF!</v>
      </c>
      <c r="I67" s="127" t="e">
        <f>IF($H$15="Imperial",                             ((((I61*I63*I65)/1728)-H67)*($H$33/100)),            ((((I61*I63*I65)/1000000000)-H67)*($H$33/100)))</f>
        <v>#REF!</v>
      </c>
      <c r="J67" s="127" t="e">
        <f>IF($H$15="Imperial",                  ((((J61*J63*J65)/1728)-H67)*($H$33/100)),                       ((((J61*J63*J65)/1000000000)-H67)*($H$33/100)))</f>
        <v>#REF!</v>
      </c>
      <c r="K67" s="127" t="e">
        <f>H67+I67</f>
        <v>#REF!</v>
      </c>
      <c r="L67" s="127" t="e">
        <f>H67+J67</f>
        <v>#REF!</v>
      </c>
      <c r="O67" s="525" t="s">
        <v>158</v>
      </c>
      <c r="P67" s="525"/>
      <c r="Q67" s="525"/>
      <c r="R67" s="272" t="e">
        <f>(K67*1728)/I63</f>
        <v>#REF!</v>
      </c>
      <c r="S67" s="95"/>
      <c r="Y67" s="103"/>
      <c r="Z67" s="103"/>
      <c r="AA67" s="7"/>
      <c r="AB67" s="18"/>
      <c r="AC67" s="2"/>
      <c r="AD67" s="2"/>
      <c r="AE67" s="2"/>
    </row>
    <row r="68" spans="1:31" ht="23.25" x14ac:dyDescent="0.25">
      <c r="A68" s="458"/>
      <c r="B68" s="127"/>
      <c r="C68" s="127"/>
      <c r="D68" s="127"/>
      <c r="E68" s="127"/>
      <c r="F68" s="127"/>
      <c r="G68" s="127"/>
      <c r="H68" s="127"/>
      <c r="I68" s="127"/>
      <c r="J68" s="127"/>
      <c r="K68" s="127"/>
      <c r="L68" s="127"/>
      <c r="O68" s="276"/>
      <c r="P68" s="151"/>
      <c r="Q68" s="276"/>
      <c r="R68" s="266"/>
      <c r="S68" s="16"/>
      <c r="Y68" s="103"/>
      <c r="Z68" s="103"/>
      <c r="AA68" s="7"/>
      <c r="AB68" s="18"/>
      <c r="AC68" s="2"/>
      <c r="AD68" s="2"/>
      <c r="AE68" s="2"/>
    </row>
    <row r="69" spans="1:31" ht="23.25" x14ac:dyDescent="0.25">
      <c r="A69" s="517" t="s">
        <v>160</v>
      </c>
      <c r="B69" s="517"/>
      <c r="C69" s="517"/>
      <c r="D69" s="129" t="e">
        <f>D63*D61*D65</f>
        <v>#REF!</v>
      </c>
      <c r="E69" s="129" t="e">
        <f>E63*E61*E65</f>
        <v>#REF!</v>
      </c>
      <c r="F69" s="130" t="e">
        <f>IF(#REF!="Imperial",           (F67*1728)/D69,           (F67*1000000000)/D69)</f>
        <v>#REF!</v>
      </c>
      <c r="G69" s="130" t="e">
        <f>IF(#REF!="Imperial",             (G67*1728)/E69,          (G67*1000000000)/E69)</f>
        <v>#REF!</v>
      </c>
      <c r="H69" s="127"/>
      <c r="I69" s="129" t="e">
        <f>I61*I63*I65</f>
        <v>#REF!</v>
      </c>
      <c r="J69" s="129" t="e">
        <f>J61*J63*J65</f>
        <v>#REF!</v>
      </c>
      <c r="K69" s="127" t="e">
        <f>IF(#REF!="Imperial",          (K67*1728)/I69,         (K67*1000000000)/I69)</f>
        <v>#REF!</v>
      </c>
      <c r="L69" s="127" t="e">
        <f>IF(#REF!="Imperial",       (L67*1728)/J69,         (L67*1000000000)/J69)</f>
        <v>#REF!</v>
      </c>
      <c r="O69" s="525" t="s">
        <v>161</v>
      </c>
      <c r="P69" s="525"/>
      <c r="Q69" s="525"/>
      <c r="R69" s="266" t="e">
        <f>(L67*1728)/J65</f>
        <v>#REF!</v>
      </c>
      <c r="S69" s="16"/>
      <c r="Y69" s="103"/>
      <c r="Z69" s="103"/>
      <c r="AA69" s="7"/>
      <c r="AB69" s="18"/>
      <c r="AC69" s="2"/>
      <c r="AD69" s="2"/>
      <c r="AE69" s="2"/>
    </row>
    <row r="70" spans="1:31" x14ac:dyDescent="0.25">
      <c r="A70" s="127"/>
      <c r="B70" s="127"/>
      <c r="C70" s="127"/>
      <c r="D70" s="127"/>
      <c r="E70" s="131"/>
      <c r="F70" s="121"/>
      <c r="G70" s="127"/>
      <c r="H70" s="127"/>
      <c r="I70" s="127"/>
      <c r="J70" s="127"/>
      <c r="K70" s="127"/>
      <c r="L70" s="127"/>
      <c r="O70" s="288"/>
      <c r="P70" s="288"/>
      <c r="Q70" s="288"/>
      <c r="R70" s="288"/>
      <c r="S70" s="104"/>
    </row>
    <row r="71" spans="1:31" ht="15.75" x14ac:dyDescent="0.25">
      <c r="A71" s="518" t="str">
        <f>IF($H$37=2,"Bottom Layer","")</f>
        <v/>
      </c>
      <c r="B71" s="518"/>
      <c r="C71" s="518" t="s">
        <v>138</v>
      </c>
      <c r="D71" s="518"/>
      <c r="E71" s="518"/>
      <c r="F71" s="518"/>
      <c r="G71" s="518"/>
      <c r="H71" s="518" t="s">
        <v>139</v>
      </c>
      <c r="I71" s="518"/>
      <c r="J71" s="518"/>
      <c r="K71" s="518"/>
      <c r="L71" s="518"/>
      <c r="O71" s="525" t="s">
        <v>162</v>
      </c>
      <c r="P71" s="525"/>
      <c r="Q71" s="525"/>
      <c r="R71" s="272" t="e">
        <f>(L67*1728)/J63</f>
        <v>#REF!</v>
      </c>
      <c r="S71" s="104"/>
    </row>
    <row r="72" spans="1:31" ht="15.75" x14ac:dyDescent="0.25">
      <c r="A72" s="126"/>
      <c r="B72" s="126"/>
      <c r="C72" s="510" t="s">
        <v>143</v>
      </c>
      <c r="D72" s="501" t="s">
        <v>144</v>
      </c>
      <c r="E72" s="501" t="s">
        <v>145</v>
      </c>
      <c r="F72" s="501" t="s">
        <v>146</v>
      </c>
      <c r="G72" s="501" t="s">
        <v>147</v>
      </c>
      <c r="H72" s="510" t="s">
        <v>143</v>
      </c>
      <c r="I72" s="501" t="s">
        <v>144</v>
      </c>
      <c r="J72" s="501" t="s">
        <v>145</v>
      </c>
      <c r="K72" s="501" t="s">
        <v>146</v>
      </c>
      <c r="L72" s="501" t="s">
        <v>147</v>
      </c>
      <c r="O72" s="269"/>
      <c r="P72" s="269"/>
      <c r="Q72" s="269"/>
      <c r="R72" s="95"/>
      <c r="S72" s="104"/>
    </row>
    <row r="73" spans="1:31" x14ac:dyDescent="0.25">
      <c r="A73" s="458" t="str">
        <f>IF($H$37&gt;1,$H$19,"")</f>
        <v/>
      </c>
      <c r="B73" s="127"/>
      <c r="C73" s="510"/>
      <c r="D73" s="501"/>
      <c r="E73" s="501"/>
      <c r="F73" s="501"/>
      <c r="G73" s="501"/>
      <c r="H73" s="510"/>
      <c r="I73" s="501"/>
      <c r="J73" s="501"/>
      <c r="K73" s="501"/>
      <c r="L73" s="501"/>
      <c r="O73" s="269"/>
      <c r="P73" s="269"/>
      <c r="Q73" s="269"/>
      <c r="R73" s="95"/>
      <c r="S73" s="104"/>
    </row>
    <row r="74" spans="1:31" x14ac:dyDescent="0.25">
      <c r="A74" s="458"/>
      <c r="B74" s="127"/>
      <c r="C74" s="510"/>
      <c r="D74" s="501"/>
      <c r="E74" s="501"/>
      <c r="F74" s="501"/>
      <c r="G74" s="501"/>
      <c r="H74" s="510"/>
      <c r="I74" s="501"/>
      <c r="J74" s="501"/>
      <c r="K74" s="501"/>
      <c r="L74" s="501"/>
      <c r="O74" s="269"/>
      <c r="P74" s="269"/>
      <c r="Q74" s="269"/>
      <c r="R74" s="95"/>
      <c r="S74" s="104"/>
    </row>
    <row r="75" spans="1:31" x14ac:dyDescent="0.25">
      <c r="A75" s="458"/>
      <c r="B75" s="127" t="str">
        <f>IF($H$15="Imperial","Height (in)","Height (mm)")</f>
        <v>Height (mm)</v>
      </c>
      <c r="C75" s="127" t="e">
        <f>IF($H$15="Imperial",            IF($H$19="SC-18",             18,          IF($H$19="SC-44",         44,          34)),           IF($H$19="SC-18",             457,             IF($H$19="SC-44",         1117,        864)))</f>
        <v>#REF!</v>
      </c>
      <c r="D75" s="127">
        <f>IF($H$37=1,       0,       IF($H$37=2,        $BX$75+$H$29+($H$39/2),         $BX$75+$H$39))</f>
        <v>0</v>
      </c>
      <c r="E75" s="127">
        <f>IF($H$37=1,       0,          IF($H$37=2,         $BX$75+$H$29+($H$39/2),          $BX$75+$H$39))</f>
        <v>0</v>
      </c>
      <c r="F75" s="128"/>
      <c r="G75" s="127"/>
      <c r="H75" s="127" t="e">
        <f>IF($H$15="Imperial",          IF($H$19="SC-18",             18,           IF($H$19="SC-44",        44,         34)),               IF($H$19="SC-18",             457,              IF($H$19="SC-44",       1117,      864)))</f>
        <v>#REF!</v>
      </c>
      <c r="I75" s="127" t="e">
        <f>IF(#REF!=1,        0,         IF($H$37=2,         $CC$75+$H$29+($H$39/2),          $CC$75+$H$39))</f>
        <v>#REF!</v>
      </c>
      <c r="J75" s="127" t="e">
        <f>IF(#REF!=1,0,IF($H$37=2,$CC$75+$H$29+($H$39/2),$CC$75+$H$39))</f>
        <v>#REF!</v>
      </c>
      <c r="K75" s="128"/>
      <c r="L75" s="127"/>
      <c r="O75" s="513" t="str">
        <f>IF($H$15="Imperial",            "Imperial (inches and ft)",         "Metric (mm and meters)")</f>
        <v>Metric (mm and meters)</v>
      </c>
      <c r="P75" s="513" t="e">
        <f>IF($H$23="Width",                "by system width",        "by system length")</f>
        <v>#REF!</v>
      </c>
      <c r="Q75" s="513"/>
      <c r="R75" s="513"/>
      <c r="S75" s="513"/>
      <c r="U75" s="512" t="s">
        <v>163</v>
      </c>
      <c r="V75" s="512"/>
      <c r="W75" s="512"/>
      <c r="X75" s="512"/>
      <c r="Y75" s="512"/>
      <c r="Z75" s="512"/>
      <c r="AA75" s="512"/>
      <c r="AB75" s="512"/>
      <c r="AC75" s="512"/>
      <c r="AD75" s="495"/>
      <c r="AE75" s="495"/>
    </row>
    <row r="76" spans="1:31" x14ac:dyDescent="0.25">
      <c r="A76" s="458"/>
      <c r="B76" s="127"/>
      <c r="C76" s="127"/>
      <c r="D76" s="127"/>
      <c r="E76" s="127"/>
      <c r="F76" s="128"/>
      <c r="G76" s="127"/>
      <c r="H76" s="127"/>
      <c r="I76" s="127"/>
      <c r="J76" s="127"/>
      <c r="K76" s="128"/>
      <c r="L76" s="127"/>
      <c r="O76" s="513"/>
      <c r="P76" s="513"/>
      <c r="Q76" s="513"/>
      <c r="R76" s="513"/>
      <c r="S76" s="513"/>
      <c r="U76" s="512"/>
      <c r="V76" s="512"/>
      <c r="W76" s="512"/>
      <c r="X76" s="512"/>
      <c r="Y76" s="512"/>
      <c r="Z76" s="512"/>
      <c r="AA76" s="512"/>
      <c r="AB76" s="512"/>
      <c r="AC76" s="512"/>
      <c r="AD76" s="495"/>
      <c r="AE76" s="495"/>
    </row>
    <row r="77" spans="1:31" x14ac:dyDescent="0.25">
      <c r="A77" s="458"/>
      <c r="B77" s="127" t="str">
        <f>IF($H$15="Imperial","Width (in)","Width (mm)")</f>
        <v>Width (mm)</v>
      </c>
      <c r="C77" s="127" t="e">
        <f>IF($H$15="Imperial",          IF($H$19="SC-18",             38,          IF($H$19="SC-44",       76.25,       60)),        IF($H$19="SC-18",             965.2,           IF($H$19="SC-44",      1937,       1524)))</f>
        <v>#REF!</v>
      </c>
      <c r="D77" s="127" t="e">
        <f>IF(#REF!="Imperial",                 C77+($H$45/2)+(#REF!),              C77+($H$45/2)+(#REF!))</f>
        <v>#REF!</v>
      </c>
      <c r="E77" s="127" t="e">
        <f>C77+$H$45</f>
        <v>#REF!</v>
      </c>
      <c r="F77" s="128"/>
      <c r="G77" s="127"/>
      <c r="H77" s="127" t="e">
        <f>IF($H$15="Imperial",         IF($H$19="SC-18",             38,           IF($H$19="SC-44",       76.25,       60)),         IF($H$19="SC-18",             965.2,          IF($H$19="SC-44",      1937,       1524)))</f>
        <v>#REF!</v>
      </c>
      <c r="I77" s="127" t="e">
        <f>IF(#REF!="Imperial",               H77+($H$45/2)+(#REF!),                H77+($H$45/2)+(#REF!))</f>
        <v>#REF!</v>
      </c>
      <c r="J77" s="127" t="e">
        <f>H77+$H$45</f>
        <v>#REF!</v>
      </c>
      <c r="K77" s="128"/>
      <c r="L77" s="127"/>
      <c r="O77" s="501" t="s">
        <v>42</v>
      </c>
      <c r="P77" s="508" t="s">
        <v>43</v>
      </c>
      <c r="Q77" s="501" t="s">
        <v>44</v>
      </c>
      <c r="R77" s="501" t="s">
        <v>45</v>
      </c>
      <c r="S77" s="501" t="s">
        <v>46</v>
      </c>
      <c r="U77" s="519" t="s">
        <v>29</v>
      </c>
      <c r="V77" s="519"/>
      <c r="W77" s="519"/>
      <c r="X77" s="519"/>
      <c r="Y77" s="519"/>
      <c r="Z77" s="519"/>
      <c r="AA77" s="519"/>
      <c r="AB77" s="519"/>
      <c r="AC77" s="519"/>
      <c r="AD77" s="495"/>
      <c r="AE77" s="495"/>
    </row>
    <row r="78" spans="1:31" x14ac:dyDescent="0.25">
      <c r="A78" s="458"/>
      <c r="B78" s="127"/>
      <c r="C78" s="127"/>
      <c r="D78" s="127"/>
      <c r="E78" s="127"/>
      <c r="F78" s="128"/>
      <c r="G78" s="127"/>
      <c r="H78" s="127"/>
      <c r="I78" s="127"/>
      <c r="J78" s="127"/>
      <c r="K78" s="128"/>
      <c r="L78" s="127"/>
      <c r="O78" s="501"/>
      <c r="P78" s="508"/>
      <c r="Q78" s="501"/>
      <c r="R78" s="501"/>
      <c r="S78" s="501"/>
      <c r="U78" s="519"/>
      <c r="V78" s="519"/>
      <c r="W78" s="519"/>
      <c r="X78" s="519"/>
      <c r="Y78" s="519"/>
      <c r="Z78" s="519"/>
      <c r="AA78" s="519"/>
      <c r="AB78" s="519"/>
      <c r="AC78" s="519"/>
      <c r="AD78" s="493" t="s">
        <v>34</v>
      </c>
      <c r="AE78" s="493" t="s">
        <v>35</v>
      </c>
    </row>
    <row r="79" spans="1:31" x14ac:dyDescent="0.25">
      <c r="A79" s="458"/>
      <c r="B79" s="127" t="str">
        <f>IF($H$15="Imperial","Installed Length (in)","Installed Length (mm)")</f>
        <v>Installed Length (mm)</v>
      </c>
      <c r="C79" s="127" t="e">
        <f>IF($H$15="Imperial",        IF($H$19="SC-18",             96,          IF($H$19="SC-44",          82.25,          IF($H$19="SC-34E",        97,           95))),         IF($H$19="SC-18",             2438.4,           IF($H$19="SC-44",          2089.15,           IF($H$19="SC-34E",           2463.8,         2413))))</f>
        <v>#REF!</v>
      </c>
      <c r="D79" s="127" t="e">
        <f>IF(#REF!="Imperial",                 C79+(#REF!),                C79+(#REF!))</f>
        <v>#REF!</v>
      </c>
      <c r="E79" s="127" t="e">
        <f>IF(#REF!="Imperial",            C79+(#REF!),                 C79+(#REF!))</f>
        <v>#REF!</v>
      </c>
      <c r="F79" s="128"/>
      <c r="G79" s="127"/>
      <c r="H79" s="127" t="e">
        <f>IF($H$15="Imperial",         IF($H$19="SC-18",             91.25,            IF($H$19="SC-44",       75,            IF($H$19="SC-34E",         91,        89))),         IF($H$19="SC-18",             2317.75,              IF($H$19="SC-44",      1905,            IF($H$19="SC-34E",        2311.4,        2260.6))))</f>
        <v>#REF!</v>
      </c>
      <c r="I79" s="127" t="e">
        <f>H79</f>
        <v>#REF!</v>
      </c>
      <c r="J79" s="127" t="e">
        <f>H79</f>
        <v>#REF!</v>
      </c>
      <c r="K79" s="128"/>
      <c r="L79" s="127"/>
      <c r="O79" s="501"/>
      <c r="P79" s="138" t="e">
        <f>IF(U81=0,      0,            IF(X115=0,       0,           IF(X115=1,                 IF(X119=1,       1,    2),                IF(X115&lt;=X114,            IF(X119=1,       2,       4),                                                                    IF(X116=1,          IF(X119=1,            1,         IF(X119=2,       3,     4)),       IF(X119=1,          2,        4))))))</f>
        <v>#REF!</v>
      </c>
      <c r="Q79" s="138" t="e">
        <f>IF(P79=0,                 0,                   IF(P79=1,                  D19+D21,                       IF(P79=2,                       IF(S92=1,                     K19+K21,                         H19+H21),                        IF(P79=3,                                                    IF(#REF!="Imperial",                                                H19+D19+(((D75*(D5+#REF!)*(#REF!-(#REF!/2)))/1728)*(#REF!/100))+(((D75*(C77+#REF!)*#REF!)/1728)*(#REF!/100)),                                                                                                                   H19+D19+(((D75*(D5+#REF!)*(#REF!-(#REF!/2)))/1000000000)*(#REF!/100))+(((D75*(C77+#REF!)*#REF!)/1000000000)*(#REF!/100))),                       D81*4))))</f>
        <v>#REF!</v>
      </c>
      <c r="R79" s="138" t="e">
        <f>IF(P79=0,           0,            IF(P79=1,                 D7,                IF(P79=2,               IF(S92=1,             H7,             K7),          IF(P79=3,         (2*C81)+D7,             4*C81))))</f>
        <v>#REF!</v>
      </c>
      <c r="S79" s="138" t="e">
        <f>Q79+R79</f>
        <v>#REF!</v>
      </c>
      <c r="U79" s="494" t="str">
        <f>IF($H$15="Imperial",       "Required Cubic Feet",       "Required Cubic Meters")</f>
        <v>Required Cubic Meters</v>
      </c>
      <c r="V79" s="494" t="str">
        <f>IF($H$15="Imperial",       "Required Cubic Inches",       "Required Cubic mm")</f>
        <v>Required Cubic mm</v>
      </c>
      <c r="W79" s="494" t="e">
        <f>IF(X2=1,       "Constraint Dimension (Width)",       "Constraint Dimension (Length)")</f>
        <v>#REF!</v>
      </c>
      <c r="X79" s="494" t="e">
        <f>IF(X2=1,       "(Constraint Width-2endR Width)/midR Width",       "(Constriant Length-2endC length)/midC length")</f>
        <v>#REF!</v>
      </c>
      <c r="Y79" s="494"/>
      <c r="Z79" s="494" t="e">
        <f>IF(X2=1,       "RoundDown for Maximum Number of midR",       "RoundDown for Maximum Number of midCs per Row")</f>
        <v>#REF!</v>
      </c>
      <c r="AA79" s="494"/>
      <c r="AB79" s="494" t="e">
        <f>IF(X2=1,       "Max suggested Number of Rows",      "Maximum Number of Chambers per Row")</f>
        <v>#REF!</v>
      </c>
      <c r="AC79" s="494"/>
      <c r="AD79" s="493"/>
      <c r="AE79" s="493"/>
    </row>
    <row r="80" spans="1:31" x14ac:dyDescent="0.25">
      <c r="A80" s="458"/>
      <c r="B80" s="127"/>
      <c r="C80" s="127"/>
      <c r="D80" s="127"/>
      <c r="E80" s="127"/>
      <c r="F80" s="128"/>
      <c r="G80" s="127"/>
      <c r="H80" s="127"/>
      <c r="I80" s="127"/>
      <c r="J80" s="127"/>
      <c r="K80" s="128"/>
      <c r="L80" s="127"/>
      <c r="O80" s="501" t="s">
        <v>51</v>
      </c>
      <c r="P80" s="508" t="s">
        <v>43</v>
      </c>
      <c r="Q80" s="501" t="s">
        <v>44</v>
      </c>
      <c r="R80" s="501" t="s">
        <v>45</v>
      </c>
      <c r="S80" s="501" t="s">
        <v>46</v>
      </c>
      <c r="U80" s="494"/>
      <c r="V80" s="494"/>
      <c r="W80" s="494"/>
      <c r="X80" s="494"/>
      <c r="Y80" s="494"/>
      <c r="Z80" s="494"/>
      <c r="AA80" s="494"/>
      <c r="AB80" s="494"/>
      <c r="AC80" s="494"/>
      <c r="AD80" s="499" t="e">
        <f>IF(X2=1,         IF(#REF!="Imperial",          IF(AB81=1,    (D77+#REF!-(#REF!/2))/12,   ((2*D77)+((AB81-2)*E77))/12),             IF(AB81=1,        (D77+#REF!-(#REF!/2))/1000,      ((2*D77)+((AB81-2)*E77))/1000)),                                     IF(#REF!="Imperial",          IF(Y88=1,     (D77+#REF!-(#REF!/2))/12,      ((2*D77)+((Y88-2)*E77))/12),             IF(Y88=1,        (D77+#REF!-(#REF!/2))/1000,      ((2*D77)+((Y88-2)*E77))/1000)))</f>
        <v>#REF!</v>
      </c>
      <c r="AE80" s="499" t="e">
        <f>IF(X2=1,         "N/A",             IF(#REF!="Imperial",               IF(AB81=1,        (D5+#REF!+#REF!)/12,           ((2*D79)+((AB81-2)*I79))/12),                                                                                                                                                              IF(AB81=1,                                                   (D5+#REF!+#REF!)/1000,      ((2*D79)+((AB81-2)*I79))/1000)))</f>
        <v>#REF!</v>
      </c>
    </row>
    <row r="81" spans="1:31" x14ac:dyDescent="0.25">
      <c r="A81" s="458"/>
      <c r="B81" s="127" t="str">
        <f>IF($H$15="Imperial","Storage Volume (ft²)","Storage Volume (m²)")</f>
        <v>Storage Volume (m²)</v>
      </c>
      <c r="C81" s="127" t="e">
        <f>IF($H$15="Imperial",             IF($H$19="SC-18",             22.47,          IF(#REF!="SC-44",       103.1,           IF(#REF!="SC-34E",        77.6,         74.53))),                      IF($H$19="SC-18",             0.64,                                   IF(#REF!="SC-44",         2.92,         IF(#REF!="SC-34E",        2.2,          2.11))))</f>
        <v>#REF!</v>
      </c>
      <c r="D81" s="127" t="e">
        <f>IF($H$15="Imperial",            ((((D75*D77*D79)/1728)-C81)*($H$33/100)),          ((((D75*D77*D79)/1000000000)-C81)*($H$33/100)))</f>
        <v>#REF!</v>
      </c>
      <c r="E81" s="127" t="e">
        <f>IF($H$15="Imperial",                  ((((E75*E77*E79)/1728)-C81)*($H$33/100)),                       ((((E75*E77*E79)/1000000000)-C81)*($H$33/100)))</f>
        <v>#REF!</v>
      </c>
      <c r="F81" s="127" t="e">
        <f>C81+D81</f>
        <v>#REF!</v>
      </c>
      <c r="G81" s="127" t="e">
        <f>C81+E81</f>
        <v>#REF!</v>
      </c>
      <c r="H81" s="127" t="e">
        <f>IF($H$15="Imperial",        IF($H$19="SC-18",             21.36,            IF(#REF!="SC-44",         94.02,         IF(#REF!="SC-34E",         72.8,         69.83))),              IF($H$19="SC-18",             0.6,               IF(#REF!="SC-44",        2.66,        IF(#REF!="SC-34E",        2.06,         1.98))))</f>
        <v>#REF!</v>
      </c>
      <c r="I81" s="127" t="e">
        <f>IF($H$15="Imperial",              ((((I75*I77*I79)/1728)-H81)*($H$33/100)),                ((((I75*I77*I79)/1000000000)-H81)*($H$33/100)))</f>
        <v>#REF!</v>
      </c>
      <c r="J81" s="127" t="e">
        <f>IF($H$15="Imperial",                  ((((J75*J77*J79)/1728)-H81)*($H$33/100)),              ((((J75*J77*J79)/1000000000)-H81)*($H$33/100)))</f>
        <v>#REF!</v>
      </c>
      <c r="K81" s="127" t="e">
        <f>H81+I81</f>
        <v>#REF!</v>
      </c>
      <c r="L81" s="127" t="e">
        <f>H81+J81</f>
        <v>#REF!</v>
      </c>
      <c r="O81" s="501"/>
      <c r="P81" s="508"/>
      <c r="Q81" s="501"/>
      <c r="R81" s="501"/>
      <c r="S81" s="501"/>
      <c r="U81" s="495" t="e">
        <f>IF($H$37=1,       0,           IF(#REF!-S153&lt;=0,       0,          IF($H$37=2,#REF!/      2,               IF($H$37=3,       ($H$17-S153)/2,        IF(#REF!=4,        (#REF!-S153-S193)/2,         0)))))</f>
        <v>#REF!</v>
      </c>
      <c r="V81" s="502" t="e">
        <f>IF($H$15="Imperial",         U81*1728,        U81*1000000000)</f>
        <v>#REF!</v>
      </c>
      <c r="W81" s="495" t="e">
        <f>IF(#REF!=1,            0,            IF(#REF!=2,#REF!,      IF(#REF!=          4,        IF(X2=1,         S195,      S194),         IF(X2=1,         S154,         S155))))</f>
        <v>#REF!</v>
      </c>
      <c r="X81" s="495" t="e">
        <f>IF($H$15="Imperial",                    IF(X2=1,              ((W81*12)-(2*D77))/E77,                                    ((W81*12)-(2*D79))/I79),                                                                                                                                                                            IF(X2=1,                                                                                                                     ((W81*1000)-(2*D77))/E77,                                ((W81*1000)-(2*D79))/I79))</f>
        <v>#REF!</v>
      </c>
      <c r="Y81" s="495"/>
      <c r="Z81" s="495" t="e">
        <f>IF(X81&lt;0,        0,          ROUNDDOWN(X81,0))</f>
        <v>#REF!</v>
      </c>
      <c r="AA81" s="495"/>
      <c r="AB81" s="495" t="e">
        <f>IF(U81&lt;=D23,     1,    IF(#REF!="Imperial",      IF(X2=1,         IF(W81&lt;(((2*D77)/12)),      1,     Z81+2),           IF(W81&lt;(((2*D79)/12)),      1,    Z81+2)),                                                                                        IF(X2=1,                                                                                                       IF(W81&lt;(((2*D77)/1000)),     1,     Z81+2),             IF(W81&lt;(((2*D79)/1000)),       1,     Z81+2))))</f>
        <v>#REF!</v>
      </c>
      <c r="AC81" s="495"/>
      <c r="AD81" s="499"/>
      <c r="AE81" s="499"/>
    </row>
    <row r="82" spans="1:31" x14ac:dyDescent="0.25">
      <c r="A82" s="458"/>
      <c r="B82" s="127"/>
      <c r="C82" s="127"/>
      <c r="D82" s="127"/>
      <c r="E82" s="127"/>
      <c r="F82" s="127"/>
      <c r="G82" s="127"/>
      <c r="H82" s="127"/>
      <c r="I82" s="127"/>
      <c r="J82" s="127"/>
      <c r="K82" s="127"/>
      <c r="L82" s="127"/>
      <c r="O82" s="501"/>
      <c r="P82" s="139" t="e">
        <f>IF(#REF!&lt;2,     0,         IF(X115&lt;=1,        IF(X119&lt;=2,       0,             X110),          IF(X115&lt;=X114,       X115*X110,            IF(X116=1,         X110+X100,        2*X100))))</f>
        <v>#REF!</v>
      </c>
      <c r="Q82" s="266" t="e">
        <f>P82*I81</f>
        <v>#REF!</v>
      </c>
      <c r="R82" s="272" t="e">
        <f>P82*H81</f>
        <v>#REF!</v>
      </c>
      <c r="S82" s="138" t="e">
        <f>IF(P82=0,                   0,                     IF(S92=1,                    IF(#REF!="Imperial",                    Q82+R82+(P82*((((#REF!-(#REF!/2))*I75*I79)/1728)*(#REF!/100))),                                                                                                             Q82+R82+(P82*((((#REF!-(#REF!/2))*I75*I79)/1000000000)*(#REF!/100)))),         Q82+R82))</f>
        <v>#REF!</v>
      </c>
      <c r="U82" s="495"/>
      <c r="V82" s="502"/>
      <c r="W82" s="495"/>
      <c r="X82" s="495"/>
      <c r="Y82" s="495"/>
      <c r="Z82" s="495"/>
      <c r="AA82" s="495"/>
      <c r="AB82" s="495"/>
      <c r="AC82" s="495"/>
      <c r="AD82" s="159"/>
      <c r="AE82" s="159"/>
    </row>
    <row r="83" spans="1:31" x14ac:dyDescent="0.25">
      <c r="A83" s="517" t="s">
        <v>160</v>
      </c>
      <c r="B83" s="517"/>
      <c r="C83" s="517"/>
      <c r="D83" s="127" t="e">
        <f>IF(#REF!=1,      0,       D77*D75*D79)</f>
        <v>#REF!</v>
      </c>
      <c r="E83" s="127" t="e">
        <f>IF(#REF!=1,       0,       E77*E75*E79)</f>
        <v>#REF!</v>
      </c>
      <c r="F83" s="130" t="e">
        <f>IF(#REF!="Imperial",           IF(#REF!=1,           0,          (F81*1728)/D83),           IF(#REF!=1,         0,          (F81*1000000000)/D83))</f>
        <v>#REF!</v>
      </c>
      <c r="G83" s="130" t="e">
        <f>IF(#REF!="Imperial",     IF(#REF!=1,       0,        (G81*1728)/E83),          IF(#REF!=1,       0,           (G81*1000000000)/E83))</f>
        <v>#REF!</v>
      </c>
      <c r="H83" s="127"/>
      <c r="I83" s="127" t="e">
        <f>IF(#REF!=1,      0,      I75*I77*I79)</f>
        <v>#REF!</v>
      </c>
      <c r="J83" s="127" t="e">
        <f>IF(#REF!=1,     0,         J75*J77*J79)</f>
        <v>#REF!</v>
      </c>
      <c r="K83" s="127" t="e">
        <f>IF(#REF!="Imperial",        IF(#REF!=1,       0,          (K81*1728)/I83),        IF(#REF!=1,       0,        (K81*1000000000)/I83))</f>
        <v>#REF!</v>
      </c>
      <c r="L83" s="127" t="e">
        <f>IF(#REF!="Imperial",          IF(#REF!=1,       0,        (L81*1728)/J83),       IF(#REF!=1,         0,        (L81*1000000000)/J83))</f>
        <v>#REF!</v>
      </c>
      <c r="O83" s="501" t="s">
        <v>61</v>
      </c>
      <c r="P83" s="508" t="s">
        <v>43</v>
      </c>
      <c r="Q83" s="501" t="s">
        <v>44</v>
      </c>
      <c r="R83" s="501" t="s">
        <v>45</v>
      </c>
      <c r="S83" s="501" t="s">
        <v>46</v>
      </c>
      <c r="U83" s="493" t="s">
        <v>52</v>
      </c>
      <c r="V83" s="493"/>
      <c r="W83" s="493"/>
      <c r="X83" s="493"/>
      <c r="Y83" s="493"/>
      <c r="Z83" s="493"/>
      <c r="AA83" s="493"/>
      <c r="AB83" s="493"/>
      <c r="AC83" s="493"/>
      <c r="AD83" s="159"/>
      <c r="AE83" s="159"/>
    </row>
    <row r="84" spans="1:31" x14ac:dyDescent="0.25">
      <c r="A84" s="288"/>
      <c r="B84" s="288"/>
      <c r="C84" s="288"/>
      <c r="D84" s="288"/>
      <c r="E84" s="288"/>
      <c r="F84" s="288"/>
      <c r="G84" s="288"/>
      <c r="H84" s="288"/>
      <c r="I84" s="288"/>
      <c r="J84" s="288"/>
      <c r="K84" s="288"/>
      <c r="L84" s="288"/>
      <c r="O84" s="501"/>
      <c r="P84" s="508"/>
      <c r="Q84" s="501"/>
      <c r="R84" s="501"/>
      <c r="S84" s="501"/>
      <c r="U84" s="493"/>
      <c r="V84" s="493"/>
      <c r="W84" s="493"/>
      <c r="X84" s="493"/>
      <c r="Y84" s="493"/>
      <c r="Z84" s="493"/>
      <c r="AA84" s="493"/>
      <c r="AB84" s="493"/>
      <c r="AC84" s="493"/>
      <c r="AD84" s="159"/>
      <c r="AE84" s="159"/>
    </row>
    <row r="85" spans="1:31" ht="15.75" x14ac:dyDescent="0.25">
      <c r="A85" s="518" t="str">
        <f>IF($H$37=3,"Bottom Layer","")</f>
        <v/>
      </c>
      <c r="B85" s="518"/>
      <c r="C85" s="518" t="s">
        <v>138</v>
      </c>
      <c r="D85" s="518"/>
      <c r="E85" s="518"/>
      <c r="F85" s="518"/>
      <c r="G85" s="518"/>
      <c r="H85" s="518" t="s">
        <v>139</v>
      </c>
      <c r="I85" s="518"/>
      <c r="J85" s="518"/>
      <c r="K85" s="518"/>
      <c r="L85" s="518"/>
      <c r="O85" s="501"/>
      <c r="P85" s="139" t="e">
        <f>IF(#REF!&lt;2,      0,     IF(X94=0,      0,      IF(X115&lt;=X114,               IF(X119=1,        X94,      2*X94),               IF(X116&lt;=2,             IF(X118=0,           0,         IF(X118=1,        X94,      2*X94)),            IF(X118=0,             X115-X116,            IF(X118=1,             X94+(X94-X117),           2*X94))))))</f>
        <v>#REF!</v>
      </c>
      <c r="Q85" s="266" t="e">
        <f>IF(P85=0,     0,          IF(S93=1,          P85*(L19+L23),             IF(S93=2,                IF(U110&lt;=2,         P85*E81,         ((P85-1)*E81)+(L19+L23)),       P85*E81)))</f>
        <v>#REF!</v>
      </c>
      <c r="R85" s="272" t="e">
        <f>IF(P85=0,     0,          IF(S93=1,          P85*D7,             IF(S93=2,                IF(U110&lt;=2,         P85*C81,         ((P85-1)*C81)+D7),       P85*C81)))</f>
        <v>#REF!</v>
      </c>
      <c r="S85" s="138" t="e">
        <f>Q85+R85</f>
        <v>#REF!</v>
      </c>
      <c r="U85" s="494" t="e">
        <f>IF(X2=1,    "",      "number of endCs per fullR*endRendCvolumes")</f>
        <v>#REF!</v>
      </c>
      <c r="V85" s="494" t="e">
        <f>IF(X2=1,       "",      "Max number of midC per fullR*endRmidC Volume")</f>
        <v>#REF!</v>
      </c>
      <c r="W85" s="494"/>
      <c r="X85" s="494" t="e">
        <f>IF(X2=1,     "",      "Number of End Rows")</f>
        <v>#REF!</v>
      </c>
      <c r="Y85" s="494" t="e">
        <f>IF(X2=1,        "",     "min number of rows suggested")</f>
        <v>#REF!</v>
      </c>
      <c r="Z85" s="494"/>
      <c r="AA85" s="493" t="s">
        <v>56</v>
      </c>
      <c r="AB85" s="493"/>
      <c r="AC85" s="493"/>
      <c r="AD85" s="159"/>
      <c r="AE85" s="159"/>
    </row>
    <row r="86" spans="1:31" ht="15.75" x14ac:dyDescent="0.25">
      <c r="A86" s="126"/>
      <c r="B86" s="126"/>
      <c r="C86" s="510" t="s">
        <v>143</v>
      </c>
      <c r="D86" s="501" t="s">
        <v>144</v>
      </c>
      <c r="E86" s="501" t="s">
        <v>145</v>
      </c>
      <c r="F86" s="501" t="s">
        <v>146</v>
      </c>
      <c r="G86" s="501" t="s">
        <v>147</v>
      </c>
      <c r="H86" s="510" t="s">
        <v>143</v>
      </c>
      <c r="I86" s="501" t="s">
        <v>144</v>
      </c>
      <c r="J86" s="501" t="s">
        <v>145</v>
      </c>
      <c r="K86" s="501" t="s">
        <v>146</v>
      </c>
      <c r="L86" s="501" t="s">
        <v>147</v>
      </c>
      <c r="O86" s="501" t="s">
        <v>67</v>
      </c>
      <c r="P86" s="508" t="s">
        <v>43</v>
      </c>
      <c r="Q86" s="501" t="s">
        <v>44</v>
      </c>
      <c r="R86" s="501" t="s">
        <v>45</v>
      </c>
      <c r="S86" s="501" t="s">
        <v>46</v>
      </c>
      <c r="U86" s="494"/>
      <c r="V86" s="494"/>
      <c r="W86" s="494"/>
      <c r="X86" s="494"/>
      <c r="Y86" s="494"/>
      <c r="Z86" s="494"/>
      <c r="AA86" s="493"/>
      <c r="AB86" s="493"/>
      <c r="AC86" s="493"/>
      <c r="AD86" s="159"/>
      <c r="AE86" s="159"/>
    </row>
    <row r="87" spans="1:31" x14ac:dyDescent="0.25">
      <c r="A87" s="458" t="str">
        <f>IF($H$37&gt;2,      $H$19,          "")</f>
        <v/>
      </c>
      <c r="B87" s="127"/>
      <c r="C87" s="510"/>
      <c r="D87" s="501"/>
      <c r="E87" s="501"/>
      <c r="F87" s="501"/>
      <c r="G87" s="501"/>
      <c r="H87" s="510"/>
      <c r="I87" s="501"/>
      <c r="J87" s="501"/>
      <c r="K87" s="501"/>
      <c r="L87" s="501"/>
      <c r="O87" s="501"/>
      <c r="P87" s="508"/>
      <c r="Q87" s="501"/>
      <c r="R87" s="501"/>
      <c r="S87" s="501"/>
      <c r="U87" s="494"/>
      <c r="V87" s="494"/>
      <c r="W87" s="494"/>
      <c r="X87" s="494"/>
      <c r="Y87" s="494"/>
      <c r="Z87" s="494"/>
      <c r="AA87" s="493"/>
      <c r="AB87" s="493"/>
      <c r="AC87" s="493"/>
      <c r="AD87" s="159"/>
      <c r="AE87" s="159"/>
    </row>
    <row r="88" spans="1:31" x14ac:dyDescent="0.25">
      <c r="A88" s="458"/>
      <c r="B88" s="127"/>
      <c r="C88" s="510"/>
      <c r="D88" s="501"/>
      <c r="E88" s="501"/>
      <c r="F88" s="501"/>
      <c r="G88" s="501"/>
      <c r="H88" s="510"/>
      <c r="I88" s="501"/>
      <c r="J88" s="501"/>
      <c r="K88" s="501"/>
      <c r="L88" s="501"/>
      <c r="O88" s="501"/>
      <c r="P88" s="140" t="e">
        <f>IF(X94=0,    0,       IF(X115&lt;=X114,               IF(X119&lt;=2,        0,          X94*X110),             IF(X119&lt;=2,       0,         IF(X116&lt;=2,          IF(X118&lt;=2,       0,           X94*X110),                                                          IF(X118=2,        (X94-(X115-X116)),              (X94*X110)+(X94-(X115-X116)))))))</f>
        <v>#REF!</v>
      </c>
      <c r="Q88" s="272" t="e">
        <f>P88*J81</f>
        <v>#REF!</v>
      </c>
      <c r="R88" s="272" t="e">
        <f>P88*H81</f>
        <v>#REF!</v>
      </c>
      <c r="S88" s="138" t="e">
        <f>Q88+R88</f>
        <v>#REF!</v>
      </c>
      <c r="U88" s="495" t="e">
        <f>IF(X2=1,                0,                 IF(#REF!="Imperial",                          IF(AB81=1,                  (D7+D19)+(((#REF!*D75*D77)/1728)*(#REF!/100)),                                      2*F81),                                                                                                                                                                                                                                                              IF(AB81=1,                           (D7+D19)+(((#REF!*D75*D77)/1000000000)*(#REF!/100)),                           2*F81)))</f>
        <v>#REF!</v>
      </c>
      <c r="V88" s="495" t="e">
        <f>IF(X2=1,     0,      IF(Z81=0,       0,          Z81*K81))</f>
        <v>#REF!</v>
      </c>
      <c r="W88" s="495"/>
      <c r="X88" s="495" t="e">
        <f>IF(X2=1,          0,     IF(AB81=1,            IF(U81&lt;=D23,         1,         2),                    IF(AB81=2,                  IF(U81&lt;=K23,         1,              2),                                                                                                                                           IF(#REF!="Imperial",          IF(U81&lt;=((2*(F81+(((D75*(D77+#REF!-(#REF!/2))*(C79+#REF!))/1728)*(#REF!/100))+(Z81*(K81+((((#REF!-(#REF!/2))*I75*I79)/1728)*(#REF!/100))))))),   1,     2),                                                                                                                                                                  IF(U81&lt;=((2*(F81+(((D75*(D77+#REF!-(#REF!/2))*(C79+#REF!))/1000000000)*(#REF!/100))+(Z81*(K81+((((#REF!-(#REF!/2))*I75*I79)/1000000000)*(#REF!/100))))))),      1,     2)))))</f>
        <v>#REF!</v>
      </c>
      <c r="Y88" s="495" t="e">
        <f>IF(X2=1,                    0,                      IF(U81&lt;=(2*(U88+V88)),                    X88,                         IF(AB81=1,                          (ROUNDUP((U81-(2*(U88+V88)))/(L27),0))+2,                                                                              IF(AB81=2,                    (ROUNDUP((U81-(2*(U88+V88)))/(2*G81),0))+2,                    (ROUNDUP((U81-(2*(U88+V88)))/((Z81*L81)+(2*G81)),0))+2))))</f>
        <v>#REF!</v>
      </c>
      <c r="Z88" s="495"/>
      <c r="AA88" s="493"/>
      <c r="AB88" s="493"/>
      <c r="AC88" s="493"/>
      <c r="AD88" s="159"/>
      <c r="AE88" s="159"/>
    </row>
    <row r="89" spans="1:31" x14ac:dyDescent="0.25">
      <c r="A89" s="458"/>
      <c r="B89" s="495" t="str">
        <f>IF($H$15="Imperial","Height (in)","Height (mm)")</f>
        <v>Height (mm)</v>
      </c>
      <c r="C89" s="460" t="e">
        <f>IF($H$15="Imperial",         IF($H$19="SC-18",             18,            IF($H$19="SC-44",         44,         34)),          IF($H$19="SC-18",             457,           IF($H$19="SC-44",         1117,        864)))</f>
        <v>#REF!</v>
      </c>
      <c r="D89" s="460">
        <f>IF($H$37&lt;3,          0,        IF($H$37=3,    $BX$89+$H$29+($H$39/2),          C89+#REF!))</f>
        <v>0</v>
      </c>
      <c r="E89" s="460">
        <f>IF($H$37&lt;3,          0,        IF($H$37=3,    $BX$89+$H$29+($H$39/2),          C89+#REF!))</f>
        <v>0</v>
      </c>
      <c r="F89" s="522"/>
      <c r="G89" s="522"/>
      <c r="H89" s="460" t="e">
        <f>IF($H$15="Imperial",        IF($H$19="SC-18",             18,           IF($H$19="SC-44",      44,       34)),         IF($H$19="SC-18",             457,           IF($H$19="SC-44",        1117,      864)))</f>
        <v>#REF!</v>
      </c>
      <c r="I89" s="460">
        <f>IF($H$37&lt;3,          0,        IF($H$37=3,    $BX$89+$H$29+($H$39/2),          C89+#REF!))</f>
        <v>0</v>
      </c>
      <c r="J89" s="460">
        <f>IF($H$37&lt;3,          0,        IF($H$37=3,    $BX$89+$H$29+($H$39/2),          C89+#REF!))</f>
        <v>0</v>
      </c>
      <c r="K89" s="522"/>
      <c r="L89" s="522"/>
      <c r="M89" s="110"/>
      <c r="N89" s="110"/>
      <c r="O89" s="153" t="s">
        <v>80</v>
      </c>
      <c r="P89" s="153" t="e">
        <f>P79+P82+P85+P88</f>
        <v>#REF!</v>
      </c>
      <c r="Q89" s="153" t="e">
        <f>Q79+Q82+Q85+Q88</f>
        <v>#REF!</v>
      </c>
      <c r="R89" s="153" t="e">
        <f>R79+R82+R85+R88</f>
        <v>#REF!</v>
      </c>
      <c r="S89" s="153" t="e">
        <f>S79+S82+S85+S88</f>
        <v>#REF!</v>
      </c>
      <c r="U89" s="495"/>
      <c r="V89" s="495"/>
      <c r="W89" s="495"/>
      <c r="X89" s="495"/>
      <c r="Y89" s="495"/>
      <c r="Z89" s="495"/>
      <c r="AA89" s="493"/>
      <c r="AB89" s="493"/>
      <c r="AC89" s="493"/>
      <c r="AD89" s="159"/>
      <c r="AE89" s="159"/>
    </row>
    <row r="90" spans="1:31" x14ac:dyDescent="0.25">
      <c r="A90" s="458"/>
      <c r="B90" s="495"/>
      <c r="C90" s="460"/>
      <c r="D90" s="460"/>
      <c r="E90" s="460"/>
      <c r="F90" s="522"/>
      <c r="G90" s="522"/>
      <c r="H90" s="460"/>
      <c r="I90" s="460"/>
      <c r="J90" s="460"/>
      <c r="K90" s="522"/>
      <c r="L90" s="522"/>
      <c r="M90" s="110"/>
      <c r="N90" s="110"/>
      <c r="O90" s="110"/>
      <c r="P90" s="110"/>
      <c r="Q90" s="110"/>
      <c r="R90" s="110"/>
      <c r="S90" s="110"/>
      <c r="U90" s="495" t="s">
        <v>68</v>
      </c>
      <c r="V90" s="495"/>
      <c r="W90" s="495"/>
      <c r="X90" s="495"/>
      <c r="Y90" s="495"/>
      <c r="Z90" s="495"/>
      <c r="AA90" s="495"/>
      <c r="AB90" s="495"/>
      <c r="AC90" s="495"/>
      <c r="AD90" s="159"/>
      <c r="AE90" s="159"/>
    </row>
    <row r="91" spans="1:31" x14ac:dyDescent="0.25">
      <c r="A91" s="458"/>
      <c r="B91" s="127" t="str">
        <f>IF($H$15="Imperial","Width (in)","Width (mm)")</f>
        <v>Width (mm)</v>
      </c>
      <c r="C91" s="265" t="e">
        <f>IF($H$15="Imperial",          IF($H$19="SC-18",             38,          IF($H$19="SC-44",       76.25,       60)),          IF($H$19="SC-18",             965.2,          IF($H$19="SC-44",      1937,       1524)))</f>
        <v>#REF!</v>
      </c>
      <c r="D91" s="265" t="e">
        <f>IF(#REF!="Imperial",                C91+($H$45/2)+(#REF!),                C91+($H$45/2)+(#REF!))</f>
        <v>#REF!</v>
      </c>
      <c r="E91" s="265" t="e">
        <f>C91+$H$45</f>
        <v>#REF!</v>
      </c>
      <c r="F91" s="264"/>
      <c r="G91" s="265"/>
      <c r="H91" s="265" t="e">
        <f>IF($H$15="Imperial",          IF($H$19="SC-18",             38,          IF($H$19="SC-44",       76.25,       60)),              IF($H$19="SC-18",             965.2,              IF($H$19="SC-44",      1937,       1524)))</f>
        <v>#REF!</v>
      </c>
      <c r="I91" s="265" t="e">
        <f>IF(#REF!="imperial",             H91+($H$45/2)+(#REF!),               H91+($H$45/2)+(#REF!))</f>
        <v>#REF!</v>
      </c>
      <c r="J91" s="265" t="e">
        <f>H91+$H$45</f>
        <v>#REF!</v>
      </c>
      <c r="K91" s="264"/>
      <c r="L91" s="265"/>
      <c r="O91" s="147" t="e">
        <f>IF($H$23=1,"Min suggested number of rows","Max suggested number of rows")</f>
        <v>#REF!</v>
      </c>
      <c r="P91" s="147"/>
      <c r="Q91" s="147"/>
      <c r="R91" s="147"/>
      <c r="S91" s="272" t="e">
        <f>IF(#REF!&lt;2,       0,      AC96)</f>
        <v>#REF!</v>
      </c>
      <c r="U91" s="496" t="s">
        <v>72</v>
      </c>
      <c r="V91" s="496" t="e">
        <f>IF(#REF!=2,          "Chosen Number of Rows",      "Default Number of Rows")</f>
        <v>#REF!</v>
      </c>
      <c r="W91" s="496" t="s">
        <v>73</v>
      </c>
      <c r="X91" s="498" t="s">
        <v>74</v>
      </c>
      <c r="Y91" s="498" t="s">
        <v>75</v>
      </c>
      <c r="Z91" s="498"/>
      <c r="AA91" s="498" t="s">
        <v>76</v>
      </c>
      <c r="AB91" s="495"/>
      <c r="AC91" s="496" t="s">
        <v>78</v>
      </c>
      <c r="AD91" s="496"/>
      <c r="AE91" s="496"/>
    </row>
    <row r="92" spans="1:31" x14ac:dyDescent="0.25">
      <c r="A92" s="458"/>
      <c r="B92" s="127" t="str">
        <f>IF($H$15="Imperial","Installed Length (in)","Installed Length (mm)")</f>
        <v>Installed Length (mm)</v>
      </c>
      <c r="C92" s="265" t="e">
        <f>IF($H$15="Imperial",                 IF($H$19="SC-18",             96,                IF($H$19="SC-44",          82.25,               IF($H$19="SC-34E",         97,        95))),                   IF($H$19="SC-18",             2438.4,                                            IF($H$19="SC-44",         2089.15,                IF($H$19="SC-34E",          2463.8,          2413))))</f>
        <v>#REF!</v>
      </c>
      <c r="D92" s="265" t="e">
        <f>IF(#REF!="Imperial",         C92+(#REF!),             C92+(#REF!))</f>
        <v>#REF!</v>
      </c>
      <c r="E92" s="265" t="e">
        <f>IF(#REF!="Imperial",             C92+(#REF!),             C92+(#REF!))</f>
        <v>#REF!</v>
      </c>
      <c r="F92" s="264"/>
      <c r="G92" s="265"/>
      <c r="H92" s="265" t="e">
        <f>IF($H$15="Imperial",         IF($H$19="SC-18",             91.25,            IF($H$19="SC-44",       75,            IF($H$19="SC-34E",         91,        89))),         IF($H$19="SC-18",             2317.75,              IF($H$19="SC-44",      1905,            IF($H$19="SC-34E",        2311.4,        2260.6))))</f>
        <v>#REF!</v>
      </c>
      <c r="I92" s="265" t="e">
        <f>H92</f>
        <v>#REF!</v>
      </c>
      <c r="J92" s="265" t="e">
        <f>H92</f>
        <v>#REF!</v>
      </c>
      <c r="K92" s="264"/>
      <c r="L92" s="265"/>
      <c r="O92" s="154" t="e">
        <f>IF(#REF!=2,"Chosen number of rows","Default number of rows")</f>
        <v>#REF!</v>
      </c>
      <c r="P92" s="154"/>
      <c r="Q92" s="154"/>
      <c r="R92" s="154"/>
      <c r="S92" s="272" t="e">
        <f>IF(#REF!&lt;2,      0,         IF(#REF!=2,#REF!,            AC96))</f>
        <v>#REF!</v>
      </c>
      <c r="U92" s="496"/>
      <c r="V92" s="496"/>
      <c r="W92" s="496"/>
      <c r="X92" s="498"/>
      <c r="Y92" s="498"/>
      <c r="Z92" s="498"/>
      <c r="AA92" s="498"/>
      <c r="AB92" s="495"/>
      <c r="AC92" s="496"/>
      <c r="AD92" s="496"/>
      <c r="AE92" s="496"/>
    </row>
    <row r="93" spans="1:31" x14ac:dyDescent="0.25">
      <c r="A93" s="458"/>
      <c r="B93" s="127" t="str">
        <f>IF($H$15="Imperial","Storage Volume (ft²)","Storage Volume (m²)")</f>
        <v>Storage Volume (m²)</v>
      </c>
      <c r="C93" s="265" t="e">
        <f>IF($H$15="Imperial",             IF($H$19="SC-18",             22.47,          IF(#REF!="SC-44",       103.1,           IF(#REF!="SC-34E",        77.6,         74.53))),                      IF($H$19="SC-18",             0.64,                                   IF(#REF!="SC-44",         2.92,         IF(#REF!="SC-34E",        2.2,          2.11))))</f>
        <v>#REF!</v>
      </c>
      <c r="D93" s="265" t="e">
        <f>IF($H$15="Imperial",              (((D89*D91*D92)/1728)-C93)*($H$33/100),              ((((D89*D91*D92)/1000000000)-C93)*($H$33/100)))</f>
        <v>#REF!</v>
      </c>
      <c r="E93" s="265" t="e">
        <f>IF($H$15="Imperial",                    ((((E89*E91*E92)/1728)-C93)*($H$33/100)),                     ((((E89*E91*C92)/1000000000)-C93)*($H$33/100))+0.18)</f>
        <v>#REF!</v>
      </c>
      <c r="F93" s="265" t="e">
        <f>C93+D93</f>
        <v>#REF!</v>
      </c>
      <c r="G93" s="265" t="e">
        <f>C93+E93</f>
        <v>#REF!</v>
      </c>
      <c r="H93" s="265" t="e">
        <f>IF($H$15="Imperial",        IF($H$19="SC-18",             21.36,            IF(#REF!="SC-44",         94.02,         IF(#REF!="SC-34E",         72.8,         69.83))),              IF($H$19="SC-18",             0.6,               IF(#REF!="SC-44",        2.66,        IF(#REF!="SC-34E",        2.06,         1.98))))</f>
        <v>#REF!</v>
      </c>
      <c r="I93" s="265" t="e">
        <f>IF($H$15="Imperial",                    ((((I89*I91*I92)/1728)-H93)*($H$33/100)),                          ((((I89*I91*I92)/1000000000)-H93)*($H$33/100)))</f>
        <v>#REF!</v>
      </c>
      <c r="J93" s="265" t="e">
        <f>IF($H$15="Imperial",                    ((((J89*J91*J92)/1728)-H93)*($H$33/100)),                     ((((J89*J91*J92)/1000000000)-H93)*($H$33/100)))</f>
        <v>#REF!</v>
      </c>
      <c r="K93" s="265" t="e">
        <f>H93+I93</f>
        <v>#REF!</v>
      </c>
      <c r="L93" s="265" t="e">
        <f>H93+J93</f>
        <v>#REF!</v>
      </c>
      <c r="O93" s="154" t="e">
        <f>IF($H$23=1,"Min number of chambers per full Row","Max number of chambers per Row")</f>
        <v>#REF!</v>
      </c>
      <c r="P93" s="154"/>
      <c r="Q93" s="154"/>
      <c r="R93" s="154"/>
      <c r="S93" s="272" t="e">
        <f>X119</f>
        <v>#REF!</v>
      </c>
      <c r="U93" s="496"/>
      <c r="V93" s="496"/>
      <c r="W93" s="496"/>
      <c r="X93" s="498"/>
      <c r="Y93" s="498"/>
      <c r="Z93" s="498"/>
      <c r="AA93" s="498"/>
      <c r="AB93" s="495"/>
      <c r="AC93" s="496" t="e">
        <f>IF(X2=1,      "Maximum Number of Rows",                 "Minimum Number of Rows")</f>
        <v>#REF!</v>
      </c>
      <c r="AD93" s="496"/>
      <c r="AE93" s="498" t="e">
        <f>IF(X2=1,             "N/A",                "Maximum Number of Chambers per Full Row")</f>
        <v>#REF!</v>
      </c>
    </row>
    <row r="94" spans="1:31" x14ac:dyDescent="0.25">
      <c r="A94" s="517" t="s">
        <v>160</v>
      </c>
      <c r="B94" s="517"/>
      <c r="C94" s="517"/>
      <c r="D94" s="127" t="e">
        <f>IF(#REF!&lt;3,       0,         D91*D89*D92)</f>
        <v>#REF!</v>
      </c>
      <c r="E94" s="127" t="e">
        <f>IF(#REF!&lt;3,      0,        E91*E89*E92)</f>
        <v>#REF!</v>
      </c>
      <c r="F94" s="130" t="e">
        <f>IF(#REF!="Imperial",         IF(#REF!&lt;3,        0,           (F93*1728)/D94),           IF(#REF!&lt;3,       0,            (F93*1000000000)/D94))</f>
        <v>#REF!</v>
      </c>
      <c r="G94" s="130" t="e">
        <f>IF(#REF!="Imperial",         IF(#REF!&lt;3,       0,          (G93*1728)/E94),         IF(#REF!&lt;3,        0,         (G93*1000000000)/E94))</f>
        <v>#REF!</v>
      </c>
      <c r="H94" s="127"/>
      <c r="I94" s="127" t="e">
        <f>IF(#REF!&lt;3,      0,         I89*I91*I92)</f>
        <v>#REF!</v>
      </c>
      <c r="J94" s="127" t="e">
        <f>IF(#REF!&lt;3,          0,        J89*J91*J92)</f>
        <v>#REF!</v>
      </c>
      <c r="K94" s="127" t="e">
        <f>IF(#REF!="Imperial",         IF(#REF!&lt;3,         0,           (K93*1728)/I94),          IF(#REF!&lt;3,         0,         (K93*1000000000)/I94))</f>
        <v>#REF!</v>
      </c>
      <c r="L94" s="127" t="e">
        <f>IF(#REF!="Imperial",        IF(#REF!&lt;3,      0,         (L93*1728)/J94),        IF(#REF!&lt;3,         0,          (L93*1000000000)/J94))</f>
        <v>#REF!</v>
      </c>
      <c r="O94" s="154" t="s">
        <v>105</v>
      </c>
      <c r="P94" s="154"/>
      <c r="Q94" s="154"/>
      <c r="R94" s="154"/>
      <c r="S94" s="272" t="e">
        <f>X116</f>
        <v>#REF!</v>
      </c>
      <c r="U94" s="495" t="e">
        <f>U81</f>
        <v>#REF!</v>
      </c>
      <c r="V94" s="495" t="e">
        <f>S92</f>
        <v>#REF!</v>
      </c>
      <c r="W94" s="495" t="e">
        <f>IF(V94=1,       1,        2)</f>
        <v>#REF!</v>
      </c>
      <c r="X94" s="493" t="e">
        <f>IF(V94&lt;3,      0,        V94-2)</f>
        <v>#REF!</v>
      </c>
      <c r="Y94" s="493" t="e">
        <f>IF(V94=1,       IF(U94&lt;=D23,       D23,      K23/2),                     IF(V94=2,       IF(U94&lt;=H23,        H23,   2*F81),                  IF(U94&lt;=(H23+(X94*L27)),                          H23,         2*F81)))</f>
        <v>#REF!</v>
      </c>
      <c r="Z94" s="493"/>
      <c r="AA94" s="493" t="e">
        <f>IF(X94=0,           0,        IF((U94-Y94)&lt;=(X94*L27),             X94*L27,   X94*G81))</f>
        <v>#REF!</v>
      </c>
      <c r="AB94" s="495"/>
      <c r="AC94" s="496"/>
      <c r="AD94" s="496"/>
      <c r="AE94" s="498"/>
    </row>
    <row r="95" spans="1:31" x14ac:dyDescent="0.25">
      <c r="A95" s="342"/>
      <c r="B95" s="342"/>
      <c r="C95" s="342"/>
      <c r="D95" s="127"/>
      <c r="E95" s="127"/>
      <c r="F95" s="130"/>
      <c r="G95" s="130"/>
      <c r="H95" s="127"/>
      <c r="I95" s="127"/>
      <c r="J95" s="127"/>
      <c r="K95" s="127"/>
      <c r="L95" s="127"/>
      <c r="O95" s="154"/>
      <c r="P95" s="154"/>
      <c r="Q95" s="154"/>
      <c r="R95" s="154"/>
      <c r="S95" s="272"/>
      <c r="U95" s="495"/>
      <c r="V95" s="495"/>
      <c r="W95" s="495"/>
      <c r="X95" s="493"/>
      <c r="Y95" s="493"/>
      <c r="Z95" s="493"/>
      <c r="AA95" s="493"/>
      <c r="AB95" s="495"/>
      <c r="AC95" s="267"/>
      <c r="AD95" s="267"/>
      <c r="AE95" s="268"/>
    </row>
    <row r="96" spans="1:31" ht="15.75" x14ac:dyDescent="0.25">
      <c r="A96" s="518" t="str">
        <f>IF($H$37=4,"Bottom Layer","")</f>
        <v/>
      </c>
      <c r="B96" s="518"/>
      <c r="C96" s="518" t="s">
        <v>138</v>
      </c>
      <c r="D96" s="518"/>
      <c r="E96" s="518"/>
      <c r="F96" s="518"/>
      <c r="G96" s="518"/>
      <c r="H96" s="518" t="s">
        <v>139</v>
      </c>
      <c r="I96" s="518"/>
      <c r="J96" s="518"/>
      <c r="K96" s="518"/>
      <c r="L96" s="518"/>
      <c r="O96" s="155" t="s">
        <v>106</v>
      </c>
      <c r="P96" s="155"/>
      <c r="Q96" s="155"/>
      <c r="R96" s="155"/>
      <c r="S96" s="263" t="e">
        <f>IF(X117=0,    "no",        "yes")</f>
        <v>#REF!</v>
      </c>
      <c r="T96" s="105"/>
      <c r="U96" s="495"/>
      <c r="V96" s="495"/>
      <c r="W96" s="495"/>
      <c r="X96" s="493"/>
      <c r="Y96" s="493"/>
      <c r="Z96" s="493"/>
      <c r="AA96" s="493"/>
      <c r="AB96" s="495"/>
      <c r="AC96" s="495" t="e">
        <f>IF(X2=1,            AB81,        Y88)</f>
        <v>#REF!</v>
      </c>
      <c r="AD96" s="495"/>
      <c r="AE96" s="497" t="e">
        <f>IF(X2=1,         0,                             AB81)</f>
        <v>#REF!</v>
      </c>
    </row>
    <row r="97" spans="1:31" ht="15.75" x14ac:dyDescent="0.25">
      <c r="A97" s="126"/>
      <c r="B97" s="126"/>
      <c r="C97" s="510" t="s">
        <v>143</v>
      </c>
      <c r="D97" s="501" t="s">
        <v>144</v>
      </c>
      <c r="E97" s="501" t="s">
        <v>145</v>
      </c>
      <c r="F97" s="501" t="s">
        <v>146</v>
      </c>
      <c r="G97" s="501" t="s">
        <v>147</v>
      </c>
      <c r="H97" s="510" t="s">
        <v>143</v>
      </c>
      <c r="I97" s="501" t="s">
        <v>144</v>
      </c>
      <c r="J97" s="501" t="s">
        <v>145</v>
      </c>
      <c r="K97" s="501" t="s">
        <v>146</v>
      </c>
      <c r="L97" s="501" t="s">
        <v>147</v>
      </c>
      <c r="O97" s="155" t="s">
        <v>107</v>
      </c>
      <c r="P97" s="155"/>
      <c r="Q97" s="155"/>
      <c r="R97" s="155"/>
      <c r="S97" s="146" t="e">
        <f>S79+S82+S85+S88</f>
        <v>#REF!</v>
      </c>
      <c r="T97" s="105"/>
      <c r="U97" s="493" t="s">
        <v>83</v>
      </c>
      <c r="V97" s="493"/>
      <c r="W97" s="498" t="s">
        <v>84</v>
      </c>
      <c r="X97" s="498" t="s">
        <v>85</v>
      </c>
      <c r="Y97" s="498"/>
      <c r="Z97" s="496" t="s">
        <v>86</v>
      </c>
      <c r="AA97" s="496"/>
      <c r="AB97" s="495"/>
      <c r="AC97" s="495"/>
      <c r="AD97" s="495"/>
      <c r="AE97" s="497"/>
    </row>
    <row r="98" spans="1:31" x14ac:dyDescent="0.25">
      <c r="A98" s="458" t="str">
        <f>IF($H$37&gt;3,$H$19,"")</f>
        <v/>
      </c>
      <c r="B98" s="127"/>
      <c r="C98" s="510"/>
      <c r="D98" s="501"/>
      <c r="E98" s="501"/>
      <c r="F98" s="501"/>
      <c r="G98" s="501"/>
      <c r="H98" s="510"/>
      <c r="I98" s="501"/>
      <c r="J98" s="501"/>
      <c r="K98" s="501"/>
      <c r="L98" s="501"/>
      <c r="O98" s="532" t="s">
        <v>113</v>
      </c>
      <c r="P98" s="532"/>
      <c r="Q98" s="532"/>
      <c r="R98" s="532"/>
      <c r="S98" s="139" t="e">
        <f>IF(#REF!&lt;2,         0,        IF(#REF!="Imperial",      IF(S93=1,            (D5+#REF!+#REF!)/12,                          IF(S93=2,         (2*D79)/12,                      (((S93-2)*I79)+(2*D79))/12)),                                                                                                            IF(S93=1,                     (D5+#REF!+#REF!)/1000,               IF(S93=2,         (S93*D79)/1000,         (((S93-2)*I79)+(2*D79))/1000))))</f>
        <v>#REF!</v>
      </c>
      <c r="T98" s="105"/>
      <c r="U98" s="493"/>
      <c r="V98" s="493"/>
      <c r="W98" s="498"/>
      <c r="X98" s="498"/>
      <c r="Y98" s="498"/>
      <c r="Z98" s="496"/>
      <c r="AA98" s="496"/>
      <c r="AB98" s="495"/>
      <c r="AC98" s="496" t="s">
        <v>94</v>
      </c>
      <c r="AD98" s="496"/>
      <c r="AE98" s="496"/>
    </row>
    <row r="99" spans="1:31" x14ac:dyDescent="0.25">
      <c r="A99" s="458"/>
      <c r="B99" s="127"/>
      <c r="C99" s="510"/>
      <c r="D99" s="501"/>
      <c r="E99" s="501"/>
      <c r="F99" s="501"/>
      <c r="G99" s="501"/>
      <c r="H99" s="510"/>
      <c r="I99" s="501"/>
      <c r="J99" s="501"/>
      <c r="K99" s="501"/>
      <c r="L99" s="501"/>
      <c r="O99" s="532" t="s">
        <v>114</v>
      </c>
      <c r="P99" s="532"/>
      <c r="Q99" s="532"/>
      <c r="R99" s="532"/>
      <c r="S99" s="138" t="e">
        <f>IF(#REF!&lt;2,     0,         IF(#REF!="Imperial",       IF(S92=1,                    (D77+#REF!-(#REF!/2))/12,                        IF(S92=2,             (2*D77)/12,                   (((S92-2)*E77)+(2*D77))/12)),                                                                                                               IF(S92=1,                                     (D77+#REF!-(#REF!/2))/1000,               IF(S92=2,             (2*D77)/1000,              (((S92-2)*E77)+(2*D77))/1000))))</f>
        <v>#REF!</v>
      </c>
      <c r="T99" s="105"/>
      <c r="U99" s="493"/>
      <c r="V99" s="493"/>
      <c r="W99" s="498"/>
      <c r="X99" s="498"/>
      <c r="Y99" s="498"/>
      <c r="Z99" s="496"/>
      <c r="AA99" s="496"/>
      <c r="AB99" s="495"/>
      <c r="AC99" s="496"/>
      <c r="AD99" s="496"/>
      <c r="AE99" s="496"/>
    </row>
    <row r="100" spans="1:31" x14ac:dyDescent="0.25">
      <c r="A100" s="458"/>
      <c r="B100" s="495" t="str">
        <f>IF($H$15="Imperial","Height (in)","Height (mm)")</f>
        <v>Height (mm)</v>
      </c>
      <c r="C100" s="460" t="e">
        <f>IF($H$15="Imperial",         IF($H$19="SC-18",             18,            IF($H$19="SC-44",         44,         34)),          IF($H$19="SC-18",             457,           IF($H$19="SC-44",         1117,        864)))</f>
        <v>#REF!</v>
      </c>
      <c r="D100" s="460">
        <f>IF($H$37&lt;3,          0,            C100+$H$29+($H$39/2))</f>
        <v>0</v>
      </c>
      <c r="E100" s="460">
        <f>IF($H$37&lt;3,         0,        C100+$H$29+($H$39/2))</f>
        <v>0</v>
      </c>
      <c r="F100" s="522"/>
      <c r="G100" s="522"/>
      <c r="H100" s="460" t="e">
        <f>IF($H$15="Imperial",        IF($H$19="SC-18",             18,           IF($H$19="SC-44",      44,       34)),         IF($H$19="SC-18",             457,           IF($H$19="SC-44",        1117,      864)))</f>
        <v>#REF!</v>
      </c>
      <c r="I100" s="460">
        <f>IF($H$37&lt;3,       0,             H100+$H$29+($H$39/2))</f>
        <v>0</v>
      </c>
      <c r="J100" s="460">
        <f>IF($H$37&lt;3,        0,         H100+$H$29+($H$39/2))</f>
        <v>0</v>
      </c>
      <c r="K100" s="522"/>
      <c r="L100" s="522"/>
      <c r="O100" s="261" t="s">
        <v>116</v>
      </c>
      <c r="P100" s="147" t="e">
        <f>Q79+Q82+Q85+Q88</f>
        <v>#REF!</v>
      </c>
      <c r="Q100" s="602" t="s">
        <v>117</v>
      </c>
      <c r="R100" s="602"/>
      <c r="S100" s="139" t="e">
        <f>R79+R82+R85+R88</f>
        <v>#REF!</v>
      </c>
      <c r="T100" s="105"/>
      <c r="U100" s="493"/>
      <c r="V100" s="493"/>
      <c r="W100" s="495" t="e">
        <f>IF(V94=1,         IF(U94&lt;=D23,       1,        2),                 IF(V94=2,              IF(U94&lt;=H23,            1,           2),                IF(U94&lt;=(H23+(X94*L27)),        1,      2)))</f>
        <v>#REF!</v>
      </c>
      <c r="X100" s="495" t="e">
        <f>IF(U94&lt;=(2*(Y94+AA94)),     0,     IF(AND(V94=1,U94&lt;=K23), 0,  IF(#REF!="Imperial",      IF(V94=1,        ROUNDUP((U94-(K23))/(K81+((((#REF!-(#REF!/2))*I75*I79)/1728)*(#REF!/100))),0),                                        IF(V94=2,             ROUNDUP((U94-(2*Y94))/(2*K81),0),                   ROUNDUP((U94-(2*(Y94+AA94)))/((2*K81)+(X94*L81)),0))),                                                                                                                                                                                                           IF(V94=1,                        ROUNDUP((U94-(K23))/(K81+((((#REF!-(#REF!/2))*I75*I79)/1000000000)*(#REF!/100))),0),                                                                                                                                                             IF(V94=2,                        ROUNDUP((U94-(2*Y94))/(2*K81),0),            ROUNDUP((U94-(2*(Y94+AA94)))/((2*K81)+(X94*L81)),0))))))</f>
        <v>#REF!</v>
      </c>
      <c r="Y100" s="495"/>
      <c r="Z100" s="495" t="e">
        <f>W100+X100</f>
        <v>#REF!</v>
      </c>
      <c r="AA100" s="495"/>
      <c r="AB100" s="495"/>
      <c r="AC100" s="498" t="s">
        <v>101</v>
      </c>
      <c r="AD100" s="498"/>
      <c r="AE100" s="539" t="s">
        <v>102</v>
      </c>
    </row>
    <row r="101" spans="1:31" x14ac:dyDescent="0.25">
      <c r="A101" s="458"/>
      <c r="B101" s="495"/>
      <c r="C101" s="460"/>
      <c r="D101" s="460"/>
      <c r="E101" s="460"/>
      <c r="F101" s="522"/>
      <c r="G101" s="522"/>
      <c r="H101" s="460"/>
      <c r="I101" s="460"/>
      <c r="J101" s="460"/>
      <c r="K101" s="522"/>
      <c r="L101" s="522"/>
      <c r="O101" s="147"/>
      <c r="P101" s="147"/>
      <c r="Q101" s="147"/>
      <c r="R101" s="147"/>
      <c r="S101" s="272"/>
      <c r="T101" s="105"/>
      <c r="U101" s="493"/>
      <c r="V101" s="493"/>
      <c r="W101" s="495"/>
      <c r="X101" s="495"/>
      <c r="Y101" s="495"/>
      <c r="Z101" s="495"/>
      <c r="AA101" s="495"/>
      <c r="AB101" s="495"/>
      <c r="AC101" s="498"/>
      <c r="AD101" s="498"/>
      <c r="AE101" s="539"/>
    </row>
    <row r="102" spans="1:31" x14ac:dyDescent="0.25">
      <c r="A102" s="458"/>
      <c r="B102" s="127" t="str">
        <f>IF($H$15="Imperial","Width (in)","Width (mm)")</f>
        <v>Width (mm)</v>
      </c>
      <c r="C102" s="265" t="e">
        <f>IF($H$15="Imperial",          IF($H$19="SC-18",             38,          IF($H$19="SC-44",       76.25,       60)),          IF($H$19="SC-18",             965.2,          IF($H$19="SC-44",      1937,       1524)))</f>
        <v>#REF!</v>
      </c>
      <c r="D102" s="265" t="e">
        <f>IF(#REF!="Imperial",                C102+($H$45/2)+(#REF!),                C102+($H$45/2)+(#REF!))</f>
        <v>#REF!</v>
      </c>
      <c r="E102" s="265" t="e">
        <f>C102+$H$45</f>
        <v>#REF!</v>
      </c>
      <c r="F102" s="264"/>
      <c r="G102" s="265"/>
      <c r="H102" s="265" t="e">
        <f>IF($H$15="Imperial",          IF($H$19="SC-18",             38,          IF($H$19="SC-44",       76.25,       60)),              IF($H$19="SC-18",             965.2,              IF($H$19="SC-44",      1937,       1524)))</f>
        <v>#REF!</v>
      </c>
      <c r="I102" s="265" t="e">
        <f>IF(#REF!="imperial",             H102+($H$45/2)+(#REF!),               H102+($H$45/2)+(#REF!))</f>
        <v>#REF!</v>
      </c>
      <c r="J102" s="265" t="e">
        <f>H102+$H$45</f>
        <v>#REF!</v>
      </c>
      <c r="K102" s="264"/>
      <c r="L102" s="265"/>
      <c r="O102" s="141"/>
      <c r="P102" s="501" t="s">
        <v>129</v>
      </c>
      <c r="Q102" s="501"/>
      <c r="R102" s="501"/>
      <c r="S102" s="139" t="e">
        <f>P79+P82+P85+P88</f>
        <v>#REF!</v>
      </c>
      <c r="T102" s="105"/>
      <c r="U102" s="496" t="s">
        <v>97</v>
      </c>
      <c r="V102" s="496" t="s">
        <v>98</v>
      </c>
      <c r="W102" s="498" t="s">
        <v>178</v>
      </c>
      <c r="X102" s="498" t="s">
        <v>179</v>
      </c>
      <c r="Y102" s="498"/>
      <c r="Z102" s="498"/>
      <c r="AA102" s="498"/>
      <c r="AB102" s="495"/>
      <c r="AC102" s="495" t="e">
        <f>IF(#REF!=1,      0,             IF(#REF!=2,#REF!,         AC96))</f>
        <v>#REF!</v>
      </c>
      <c r="AD102" s="495"/>
      <c r="AE102" s="497" t="e">
        <f>Z100</f>
        <v>#REF!</v>
      </c>
    </row>
    <row r="103" spans="1:31" x14ac:dyDescent="0.25">
      <c r="A103" s="458"/>
      <c r="B103" s="127" t="str">
        <f>IF($H$15="Imperial","Installed Length (in)","Installed Length (mm)")</f>
        <v>Installed Length (mm)</v>
      </c>
      <c r="C103" s="265" t="e">
        <f>IF($H$15="Imperial",                 IF($H$19="SC-18",             96,                IF($H$19="SC-44",          82.25,               IF($H$19="SC-34E",         97,        95))),                   IF($H$19="SC-18",             2438.4,                                            IF($H$19="SC-44",         2089.15,                IF($H$19="SC-34E",          2463.8,          2413))))</f>
        <v>#REF!</v>
      </c>
      <c r="D103" s="265" t="e">
        <f>IF(#REF!="Imperial",         C103+(#REF!),             C103+(#REF!))</f>
        <v>#REF!</v>
      </c>
      <c r="E103" s="265" t="e">
        <f>IF(#REF!="Imperial",             C103+(#REF!),             C103+(#REF!))</f>
        <v>#REF!</v>
      </c>
      <c r="F103" s="264"/>
      <c r="G103" s="265"/>
      <c r="H103" s="265" t="e">
        <f>IF($H$15="Imperial",         IF($H$19="SC-18",             91.25,            IF($H$19="SC-44",       75,            IF($H$19="SC-34E",         91,        89))),         IF($H$19="SC-18",             2317.75,              IF($H$19="SC-44",      1905,            IF($H$19="SC-34E",        2311.4,        2260.6))))</f>
        <v>#REF!</v>
      </c>
      <c r="I103" s="265" t="e">
        <f>H103</f>
        <v>#REF!</v>
      </c>
      <c r="J103" s="265" t="e">
        <f>H103</f>
        <v>#REF!</v>
      </c>
      <c r="K103" s="264"/>
      <c r="L103" s="265"/>
      <c r="O103" s="16"/>
      <c r="P103" s="16"/>
      <c r="Q103" s="16"/>
      <c r="R103" s="16"/>
      <c r="S103" s="16"/>
      <c r="T103" s="105"/>
      <c r="U103" s="496"/>
      <c r="V103" s="496"/>
      <c r="W103" s="498"/>
      <c r="X103" s="498"/>
      <c r="Y103" s="498"/>
      <c r="Z103" s="498"/>
      <c r="AA103" s="498"/>
      <c r="AB103" s="495"/>
      <c r="AC103" s="495"/>
      <c r="AD103" s="495"/>
      <c r="AE103" s="497"/>
    </row>
    <row r="104" spans="1:31" ht="15.75" x14ac:dyDescent="0.25">
      <c r="A104" s="458"/>
      <c r="B104" s="127" t="str">
        <f>IF($H$15="Imperial","Storage Volume (ft²)","Storage Volume (m²)")</f>
        <v>Storage Volume (m²)</v>
      </c>
      <c r="C104" s="265" t="e">
        <f>IF($H$15="Imperial",             IF($H$19="SC-18",             22.47,          IF(#REF!="SC-44",       103.1,           IF(#REF!="SC-34E",        77.6,         74.53))),                      IF($H$19="SC-18",             0.64,                                   IF(#REF!="SC-44",         2.92,         IF(#REF!="SC-34E",        2.2,          2.11))))</f>
        <v>#REF!</v>
      </c>
      <c r="D104" s="265" t="e">
        <f>IF($H$15="Imperial",              (((D100*D102*D103)/1728)-C104)*($H$33/100),              ((((D100*D102*D103)/1000000000)-C104)*($H$33/100)))</f>
        <v>#REF!</v>
      </c>
      <c r="E104" s="265" t="e">
        <f>IF($H$15="Imperial",                    ((((E100*E102*C103)/1728)-C104)*($H$33/100)),                     ((((E100*E102*C103)/1000000000)-C104)*($H$33/100))+0.18)</f>
        <v>#REF!</v>
      </c>
      <c r="F104" s="265" t="e">
        <f>C104+D104</f>
        <v>#REF!</v>
      </c>
      <c r="G104" s="265" t="e">
        <f>C104+E104</f>
        <v>#REF!</v>
      </c>
      <c r="H104" s="265" t="e">
        <f>IF($H$15="Imperial",        IF($H$19="SC-18",             21.36,            IF(#REF!="SC-44",         94.02,         IF(#REF!="SC-34E",         72.8,         69.83))),              IF($H$19="SC-18",             0.6,               IF(#REF!="SC-44",        2.66,        IF(#REF!="SC-34E",        2.06,         1.98))))</f>
        <v>#REF!</v>
      </c>
      <c r="I104" s="265" t="e">
        <f>IF($H$15="Imperial",                    ((((I100*I102*I103)/1728)-H104)*($H$33/100)),                          ((((I100*I102*I103)/1000000000)-H104)*($H$33/100)))</f>
        <v>#REF!</v>
      </c>
      <c r="J104" s="265" t="e">
        <f>IF($H$15="Imperial",                    ((((J100*J102*J103)/1728)-H104)*($H$33/100)),                     ((((J100*J102*J103)/1000000000)-H104)*($H$33/100)))</f>
        <v>#REF!</v>
      </c>
      <c r="K104" s="265" t="e">
        <f>H104+I104</f>
        <v>#REF!</v>
      </c>
      <c r="L104" s="265" t="e">
        <f>H104+J104</f>
        <v>#REF!</v>
      </c>
      <c r="O104" s="526" t="s">
        <v>132</v>
      </c>
      <c r="P104" s="526"/>
      <c r="Q104" s="526"/>
      <c r="R104" s="150" t="e">
        <f>(F81*1728)/D79</f>
        <v>#REF!</v>
      </c>
      <c r="S104" s="16"/>
      <c r="T104" s="105"/>
      <c r="U104" s="496"/>
      <c r="V104" s="496"/>
      <c r="W104" s="498"/>
      <c r="X104" s="498"/>
      <c r="Y104" s="498"/>
      <c r="Z104" s="498"/>
      <c r="AA104" s="498"/>
      <c r="AB104" s="495"/>
      <c r="AC104" s="496" t="s">
        <v>105</v>
      </c>
      <c r="AD104" s="496"/>
      <c r="AE104" s="498" t="s">
        <v>180</v>
      </c>
    </row>
    <row r="105" spans="1:31" x14ac:dyDescent="0.25">
      <c r="A105" s="517" t="s">
        <v>160</v>
      </c>
      <c r="B105" s="517"/>
      <c r="C105" s="517"/>
      <c r="D105" s="127" t="e">
        <f>IF(#REF!&lt;3,       0,         D102*D100*D103)</f>
        <v>#REF!</v>
      </c>
      <c r="E105" s="127" t="e">
        <f>IF(#REF!&lt;3,      0,        E102*E100*E103)</f>
        <v>#REF!</v>
      </c>
      <c r="F105" s="130" t="e">
        <f>IF(#REF!="Imperial",         IF(#REF!&lt;3,        0,           (F104*1728)/D105),           IF(#REF!&lt;3,       0,            (F104*1000000000)/D105))</f>
        <v>#REF!</v>
      </c>
      <c r="G105" s="130" t="e">
        <f>IF(#REF!="Imperial",         IF(#REF!&lt;3,       0,          (G104*1728)/E105),         IF(#REF!&lt;3,        0,         (G104*1000000000)/E105))</f>
        <v>#REF!</v>
      </c>
      <c r="H105" s="127"/>
      <c r="I105" s="127" t="e">
        <f>IF(#REF!&lt;3,      0,         I100*I102*I103)</f>
        <v>#REF!</v>
      </c>
      <c r="J105" s="127" t="e">
        <f>IF(#REF!&lt;3,          0,        J100*J102*J103)</f>
        <v>#REF!</v>
      </c>
      <c r="K105" s="127" t="e">
        <f>IF(#REF!="Imperial",         IF(#REF!&lt;3,         0,           (K104*1728)/I105),          IF(#REF!&lt;3,         0,         (K104*1000000000)/I105))</f>
        <v>#REF!</v>
      </c>
      <c r="L105" s="127" t="e">
        <f>IF(#REF!="Imperial",        IF(#REF!&lt;3,      0,         (L104*1728)/J105),        IF(#REF!&lt;3,         0,          (L104*1000000000)/J105))</f>
        <v>#REF!</v>
      </c>
      <c r="O105" s="525" t="s">
        <v>140</v>
      </c>
      <c r="P105" s="525"/>
      <c r="Q105" s="525"/>
      <c r="R105" s="266" t="e">
        <f>(F81*1728)/D77</f>
        <v>#REF!</v>
      </c>
      <c r="S105" s="16"/>
      <c r="T105" s="105"/>
      <c r="U105" s="497" t="e">
        <f>IF(#REF!="Imperial",   IF(V94=1,   IF(Z100=1,   D23,   IF(Z100=2,  K23,  (2*(F81+((((#REF!-(#REF!/2))*D75*D79)/1728)*(#REF!/100)))+(X100*(K81+((((#REF!-(#REF!/2))*I75*I79)/1728)*(#REF!/100))))))),                                                                                                              IF(Z100=1,          H23+(X100*L27),             IF(Z100=2,              2*F81,               (2*F81)+(X100*K81)))),                                                                                                                                                                                              IF(V94=1,       IF(Z100=1,   D23,   IF(Z100=2,    K23,    (2*(F81+((((#REF!-(#REF!/2))*D75*D79)/1000000000)*(#REF!/100)))+(X100*(K81+((((#REF!-(#REF!/2))*I75*I79)/1000000000)*(#REF!/100))))))),                                                                                                              IF(Z100=1,          H23+(X100*L27),             IF(Z100=2,              2*F81,               (2*F81)+(X100*K81)))))</f>
        <v>#REF!</v>
      </c>
      <c r="V105" s="497" t="e">
        <f>IF(X94=0,                       0,                          IF(Z100=1,                           L27,               IF(Z100=2,                  2*G81,                    (2*G81)+(X100*L81))))</f>
        <v>#REF!</v>
      </c>
      <c r="W105" s="498" t="e">
        <f>IF(#REF!=1,          0,           IF(V94=1,             1,         IF(V94=2,                 ROUNDDOWN((U94/U105),0),                      ROUNDDOWN((U94-(2*U105))/V105,0)+2)))</f>
        <v>#REF!</v>
      </c>
      <c r="X105" s="498" t="e">
        <f>IF(V94&lt;3,                 0,                     ROUNDDOWN((U94-(2*U105))/V105,0))</f>
        <v>#REF!</v>
      </c>
      <c r="Y105" s="498"/>
      <c r="Z105" s="498"/>
      <c r="AA105" s="498"/>
      <c r="AB105" s="495"/>
      <c r="AC105" s="496"/>
      <c r="AD105" s="496"/>
      <c r="AE105" s="498"/>
    </row>
    <row r="106" spans="1:31" ht="15.75" x14ac:dyDescent="0.25">
      <c r="A106" s="515"/>
      <c r="B106" s="515"/>
      <c r="C106" s="515"/>
      <c r="D106" s="515"/>
      <c r="E106" s="515"/>
      <c r="F106" s="515"/>
      <c r="G106" s="515"/>
      <c r="H106" s="515"/>
      <c r="I106" s="515"/>
      <c r="J106" s="515"/>
      <c r="K106" s="515"/>
      <c r="L106" s="515"/>
      <c r="O106" s="526" t="s">
        <v>148</v>
      </c>
      <c r="P106" s="526"/>
      <c r="Q106" s="526"/>
      <c r="R106" s="272" t="e">
        <f>(G81*1728)/E79</f>
        <v>#REF!</v>
      </c>
      <c r="S106" s="16"/>
      <c r="T106" s="105"/>
      <c r="U106" s="497"/>
      <c r="V106" s="497"/>
      <c r="W106" s="498"/>
      <c r="X106" s="498"/>
      <c r="Y106" s="498"/>
      <c r="Z106" s="498"/>
      <c r="AA106" s="498"/>
      <c r="AB106" s="495"/>
      <c r="AC106" s="493" t="e">
        <f>X116</f>
        <v>#REF!</v>
      </c>
      <c r="AD106" s="493"/>
      <c r="AE106" s="493" t="e">
        <f>X118</f>
        <v>#REF!</v>
      </c>
    </row>
    <row r="107" spans="1:31" x14ac:dyDescent="0.25">
      <c r="A107" s="519" t="s">
        <v>182</v>
      </c>
      <c r="B107" s="519"/>
      <c r="C107" s="498" t="str">
        <f>IF($H$15="Imperial","Installed Height (in)","Installed Height (mm)")</f>
        <v>Installed Height (mm)</v>
      </c>
      <c r="D107" s="498" t="str">
        <f>IF($H$15="Imperial","Width (in)","Width (mm)")</f>
        <v>Width (mm)</v>
      </c>
      <c r="E107" s="498" t="str">
        <f>IF($H$15="Imperial","Storage Width (in)","Storage Width (mm)")</f>
        <v>Storage Width (mm)</v>
      </c>
      <c r="F107" s="498" t="str">
        <f>IF($H$15="Imperial","Length (in)","Length (mm)")</f>
        <v>Length (mm)</v>
      </c>
      <c r="G107" s="498" t="str">
        <f>IF($H$15="Imperial","Storage Volume (ft²)","Storage Volume (m²)")</f>
        <v>Storage Volume (m²)</v>
      </c>
      <c r="H107" s="123"/>
      <c r="I107" s="123"/>
      <c r="J107" s="520" t="s">
        <v>183</v>
      </c>
      <c r="K107" s="520"/>
      <c r="L107" s="520"/>
      <c r="O107" s="525" t="s">
        <v>153</v>
      </c>
      <c r="P107" s="525"/>
      <c r="Q107" s="525"/>
      <c r="R107" s="266" t="e">
        <f>(G81*1728)/E77</f>
        <v>#REF!</v>
      </c>
      <c r="S107" s="16"/>
      <c r="T107" s="105"/>
      <c r="U107" s="498" t="s">
        <v>184</v>
      </c>
      <c r="V107" s="498" t="s">
        <v>99</v>
      </c>
      <c r="W107" s="498" t="s">
        <v>185</v>
      </c>
      <c r="X107" s="498" t="s">
        <v>186</v>
      </c>
      <c r="Y107" s="123"/>
      <c r="Z107" s="123"/>
      <c r="AA107" s="123"/>
      <c r="AB107" s="495"/>
      <c r="AC107" s="493"/>
      <c r="AD107" s="493"/>
      <c r="AE107" s="493"/>
    </row>
    <row r="108" spans="1:31" x14ac:dyDescent="0.25">
      <c r="A108" s="519"/>
      <c r="B108" s="519"/>
      <c r="C108" s="498"/>
      <c r="D108" s="498"/>
      <c r="E108" s="498"/>
      <c r="F108" s="498"/>
      <c r="G108" s="498"/>
      <c r="H108" s="123"/>
      <c r="I108" s="123"/>
      <c r="J108" s="520"/>
      <c r="K108" s="520"/>
      <c r="L108" s="520"/>
      <c r="O108" s="276"/>
      <c r="P108" s="276"/>
      <c r="Q108" s="276"/>
      <c r="R108" s="141"/>
      <c r="S108" s="16"/>
      <c r="T108" s="105"/>
      <c r="U108" s="498"/>
      <c r="V108" s="498"/>
      <c r="W108" s="498"/>
      <c r="X108" s="498"/>
      <c r="Y108" s="123"/>
      <c r="Z108" s="123"/>
      <c r="AA108" s="123"/>
      <c r="AB108" s="495"/>
      <c r="AC108" s="497"/>
      <c r="AD108" s="497"/>
      <c r="AE108" s="497"/>
    </row>
    <row r="109" spans="1:31" x14ac:dyDescent="0.25">
      <c r="A109" s="519"/>
      <c r="B109" s="519"/>
      <c r="C109" s="498"/>
      <c r="D109" s="498"/>
      <c r="E109" s="498"/>
      <c r="F109" s="498"/>
      <c r="G109" s="498"/>
      <c r="H109" s="123"/>
      <c r="I109" s="123"/>
      <c r="J109" s="520"/>
      <c r="K109" s="520"/>
      <c r="L109" s="520"/>
      <c r="O109" s="525" t="s">
        <v>156</v>
      </c>
      <c r="P109" s="525"/>
      <c r="Q109" s="525"/>
      <c r="R109" s="266" t="e">
        <f>(K81*1728)/I79</f>
        <v>#REF!</v>
      </c>
      <c r="T109" s="105"/>
      <c r="U109" s="498"/>
      <c r="V109" s="498"/>
      <c r="W109" s="498"/>
      <c r="X109" s="498"/>
      <c r="Y109" s="123"/>
      <c r="Z109" s="123"/>
      <c r="AA109" s="123"/>
      <c r="AB109" s="495"/>
      <c r="AC109" s="497"/>
      <c r="AD109" s="497"/>
      <c r="AE109" s="497"/>
    </row>
    <row r="110" spans="1:31" x14ac:dyDescent="0.25">
      <c r="A110" s="519"/>
      <c r="B110" s="519"/>
      <c r="C110" s="493">
        <f>IF($H$15="Imperial",44,1117)</f>
        <v>1117</v>
      </c>
      <c r="D110" s="493">
        <f>IF($H$15="Imperial",47,1194)</f>
        <v>1194</v>
      </c>
      <c r="E110" s="493">
        <f>IF($H$15="Imperial",36,914)</f>
        <v>914</v>
      </c>
      <c r="F110" s="493">
        <f>IF($H$15="Imperial",36,914)</f>
        <v>914</v>
      </c>
      <c r="G110" s="493">
        <f>IF($H$15="Imperial",16.92,0.48)</f>
        <v>0.48</v>
      </c>
      <c r="H110" s="123"/>
      <c r="I110" s="123"/>
      <c r="J110" s="523" t="s">
        <v>187</v>
      </c>
      <c r="K110" s="523" t="s">
        <v>70</v>
      </c>
      <c r="L110" s="523" t="s">
        <v>188</v>
      </c>
      <c r="O110" s="525" t="s">
        <v>158</v>
      </c>
      <c r="P110" s="525"/>
      <c r="Q110" s="525"/>
      <c r="R110" s="272" t="e">
        <f>(K81*1728)/I77</f>
        <v>#REF!</v>
      </c>
      <c r="T110" s="111"/>
      <c r="U110" s="493" t="e">
        <f>#REF!</f>
        <v>#REF!</v>
      </c>
      <c r="V110" s="493" t="e">
        <f>IF(U110=0,              S92,             S92-U110)</f>
        <v>#REF!</v>
      </c>
      <c r="W110" s="493" t="e">
        <f>Z100-1</f>
        <v>#REF!</v>
      </c>
      <c r="X110" s="493" t="e">
        <f>IF(W110&lt;=2,        0,         W110-2)</f>
        <v>#REF!</v>
      </c>
      <c r="Y110" s="123"/>
      <c r="Z110" s="123"/>
      <c r="AA110" s="123"/>
      <c r="AB110" s="495"/>
      <c r="AC110" s="497"/>
      <c r="AD110" s="497"/>
      <c r="AE110" s="497"/>
    </row>
    <row r="111" spans="1:31" x14ac:dyDescent="0.25">
      <c r="A111" s="519"/>
      <c r="B111" s="519"/>
      <c r="C111" s="493"/>
      <c r="D111" s="493"/>
      <c r="E111" s="493"/>
      <c r="F111" s="493"/>
      <c r="G111" s="493"/>
      <c r="H111" s="132"/>
      <c r="I111" s="132"/>
      <c r="J111" s="523"/>
      <c r="K111" s="523"/>
      <c r="L111" s="523"/>
      <c r="O111" s="525" t="s">
        <v>161</v>
      </c>
      <c r="P111" s="525"/>
      <c r="Q111" s="525"/>
      <c r="R111" s="266" t="e">
        <f>(L81*1728)/J79</f>
        <v>#REF!</v>
      </c>
      <c r="T111" s="105"/>
      <c r="U111" s="493"/>
      <c r="V111" s="493"/>
      <c r="W111" s="493"/>
      <c r="X111" s="493"/>
      <c r="Y111" s="123"/>
      <c r="Z111" s="123"/>
      <c r="AA111" s="123"/>
      <c r="AB111" s="495"/>
      <c r="AC111" s="497"/>
      <c r="AD111" s="497"/>
      <c r="AE111" s="497"/>
    </row>
    <row r="112" spans="1:31" ht="23.25" x14ac:dyDescent="0.25">
      <c r="A112" s="133"/>
      <c r="B112" s="134" t="e">
        <f>#REF!*#REF!*#REF!</f>
        <v>#REF!</v>
      </c>
      <c r="C112" s="132"/>
      <c r="D112" s="132"/>
      <c r="E112" s="132"/>
      <c r="F112" s="132"/>
      <c r="G112" s="132"/>
      <c r="H112" s="132"/>
      <c r="I112" s="132"/>
      <c r="J112" s="497" t="e">
        <f>#REF!</f>
        <v>#REF!</v>
      </c>
      <c r="K112" s="497" t="e">
        <f>#REF!</f>
        <v>#REF!</v>
      </c>
      <c r="L112" s="497" t="e">
        <f>IF(#REF!=1,                IF(#REF!=1,         (C61+#REF!+#REF!)/12,            IF(#REF!=2,         (#REF!+C75+#REF!+C61+#REF!)/12,              (#REF!+C89+#REF!+C75+#REF!+C61+#REF!)/12)),                                                                                       IF(#REF!=1,                                         (C61+#REF!+#REF!)/1000,          IF(#REF!=2,         (#REF!+C75+#REF!+C61+#REF!)/1000,              (#REF!+C89+#REF!+C75+#REF!+C61+#REF!)/1000)))</f>
        <v>#REF!</v>
      </c>
      <c r="M112" s="2"/>
      <c r="N112" s="2"/>
      <c r="O112" s="525" t="s">
        <v>162</v>
      </c>
      <c r="P112" s="525"/>
      <c r="Q112" s="525"/>
      <c r="R112" s="272" t="e">
        <f>(L81*1728)/J77</f>
        <v>#REF!</v>
      </c>
      <c r="T112" s="291"/>
      <c r="U112" s="497"/>
      <c r="V112" s="497"/>
      <c r="W112" s="497"/>
      <c r="X112" s="497"/>
      <c r="Y112" s="497"/>
      <c r="Z112" s="497"/>
      <c r="AA112" s="497"/>
      <c r="AB112" s="497"/>
      <c r="AC112" s="288"/>
      <c r="AD112" s="288"/>
      <c r="AE112" s="288"/>
    </row>
    <row r="113" spans="1:31" ht="23.25" x14ac:dyDescent="0.25">
      <c r="A113" s="133"/>
      <c r="B113" s="288"/>
      <c r="C113" s="288"/>
      <c r="D113" s="288"/>
      <c r="E113" s="288"/>
      <c r="F113" s="288"/>
      <c r="G113" s="288"/>
      <c r="H113" s="132"/>
      <c r="I113" s="132"/>
      <c r="J113" s="497"/>
      <c r="K113" s="497"/>
      <c r="L113" s="497"/>
      <c r="M113" s="2"/>
      <c r="N113" s="2"/>
      <c r="O113" s="269"/>
      <c r="P113" s="269"/>
      <c r="Q113" s="269"/>
      <c r="R113" s="95"/>
      <c r="T113" s="291"/>
      <c r="U113" s="123"/>
      <c r="V113" s="123"/>
      <c r="W113" s="288"/>
      <c r="X113" s="288"/>
      <c r="Y113" s="132"/>
      <c r="Z113" s="127"/>
      <c r="AA113" s="127"/>
      <c r="AB113" s="127"/>
      <c r="AC113" s="288"/>
      <c r="AD113" s="288"/>
      <c r="AE113" s="288"/>
    </row>
    <row r="114" spans="1:31" ht="30" x14ac:dyDescent="0.25">
      <c r="A114" s="287"/>
      <c r="B114" s="135"/>
      <c r="C114" s="135"/>
      <c r="D114" s="135"/>
      <c r="E114" s="135"/>
      <c r="F114" s="135"/>
      <c r="G114" s="135" t="e">
        <f>I122-I120</f>
        <v>#REF!</v>
      </c>
      <c r="H114" s="135"/>
      <c r="I114" s="135"/>
      <c r="J114" s="135"/>
      <c r="K114" s="135"/>
      <c r="L114" s="135"/>
      <c r="M114" s="3"/>
      <c r="N114" s="3"/>
      <c r="O114" s="269"/>
      <c r="P114" s="269"/>
      <c r="Q114" s="269"/>
      <c r="R114" s="95"/>
      <c r="T114" s="291"/>
      <c r="U114" s="123"/>
      <c r="V114" s="123"/>
      <c r="W114" s="132" t="s">
        <v>189</v>
      </c>
      <c r="X114" s="266" t="e">
        <f>#REF!</f>
        <v>#REF!</v>
      </c>
      <c r="Y114" s="132"/>
      <c r="Z114" s="127"/>
      <c r="AA114" s="127"/>
      <c r="AB114" s="496"/>
      <c r="AC114" s="496"/>
      <c r="AD114" s="288"/>
      <c r="AE114" s="288"/>
    </row>
    <row r="115" spans="1:31" ht="23.25" x14ac:dyDescent="0.25">
      <c r="A115" s="135"/>
      <c r="B115" s="288"/>
      <c r="C115" s="288"/>
      <c r="D115" s="288"/>
      <c r="E115" s="288"/>
      <c r="F115" s="288"/>
      <c r="G115" s="288"/>
      <c r="H115" s="288"/>
      <c r="I115" s="288"/>
      <c r="J115" s="520" t="s">
        <v>129</v>
      </c>
      <c r="K115" s="520"/>
      <c r="L115" s="520"/>
      <c r="M115" s="5"/>
      <c r="N115" s="5"/>
      <c r="O115" s="269"/>
      <c r="P115" s="269"/>
      <c r="Q115" s="269"/>
      <c r="R115" s="95"/>
      <c r="T115" s="7"/>
      <c r="U115" s="123"/>
      <c r="V115" s="123"/>
      <c r="W115" s="152" t="s">
        <v>141</v>
      </c>
      <c r="X115" s="263" t="e">
        <f>IF((V94*Z100)&lt;=X114,           0,                V94)</f>
        <v>#REF!</v>
      </c>
      <c r="Y115" s="122" t="s">
        <v>142</v>
      </c>
      <c r="Z115" s="288"/>
      <c r="AA115" s="288"/>
      <c r="AB115" s="497"/>
      <c r="AC115" s="497"/>
      <c r="AD115" s="158"/>
      <c r="AE115" s="158"/>
    </row>
    <row r="116" spans="1:31" ht="23.25" x14ac:dyDescent="0.25">
      <c r="A116" s="288"/>
      <c r="B116" s="288"/>
      <c r="C116" s="288" t="e">
        <f>J112*K112*L112</f>
        <v>#REF!</v>
      </c>
      <c r="D116" s="288" t="e">
        <f>C116-J120-K120</f>
        <v>#REF!</v>
      </c>
      <c r="E116" s="288"/>
      <c r="F116" s="288"/>
      <c r="G116" s="288"/>
      <c r="H116" s="288"/>
      <c r="I116" s="288"/>
      <c r="J116" s="520"/>
      <c r="K116" s="520"/>
      <c r="L116" s="520"/>
      <c r="M116" s="5"/>
      <c r="N116" s="5"/>
      <c r="O116" s="269"/>
      <c r="P116" s="269"/>
      <c r="Q116" s="269"/>
      <c r="R116" s="95"/>
      <c r="T116" s="16"/>
      <c r="U116" s="288"/>
      <c r="V116" s="288"/>
      <c r="W116" s="152" t="s">
        <v>178</v>
      </c>
      <c r="X116" s="263" t="e">
        <f>IF(#REF!=1,          0,        IF((V94*Z100)&lt;=X114,           0,              IF(X115&lt;=X114,              V94,         X115-X114)))</f>
        <v>#REF!</v>
      </c>
      <c r="Y116" s="122" t="s">
        <v>150</v>
      </c>
      <c r="Z116" s="288"/>
      <c r="AA116" s="288"/>
      <c r="AB116" s="523"/>
      <c r="AC116" s="523"/>
      <c r="AD116" s="158"/>
      <c r="AE116" s="158"/>
    </row>
    <row r="117" spans="1:31" ht="23.25" x14ac:dyDescent="0.25">
      <c r="A117" s="288"/>
      <c r="B117" s="288"/>
      <c r="C117" s="288"/>
      <c r="D117" s="288"/>
      <c r="E117" s="288"/>
      <c r="F117" s="288"/>
      <c r="G117" s="288"/>
      <c r="H117" s="288"/>
      <c r="I117" s="288"/>
      <c r="J117" s="273" t="s">
        <v>190</v>
      </c>
      <c r="K117" s="273" t="s">
        <v>191</v>
      </c>
      <c r="L117" s="288"/>
      <c r="M117" s="16"/>
      <c r="N117" s="9"/>
      <c r="O117" s="269"/>
      <c r="P117" s="269"/>
      <c r="Q117" s="269"/>
      <c r="R117" s="95"/>
      <c r="T117" s="16"/>
      <c r="U117" s="288"/>
      <c r="V117" s="288"/>
      <c r="W117" s="152" t="s">
        <v>192</v>
      </c>
      <c r="X117" s="263" t="e">
        <f>X115-X116</f>
        <v>#REF!</v>
      </c>
      <c r="Y117" s="288"/>
      <c r="Z117" s="288"/>
      <c r="AA117" s="288"/>
      <c r="AB117" s="538"/>
      <c r="AC117" s="538"/>
      <c r="AD117" s="158"/>
      <c r="AE117" s="158"/>
    </row>
    <row r="118" spans="1:31" ht="23.25" x14ac:dyDescent="0.25">
      <c r="A118" s="288"/>
      <c r="B118" s="288"/>
      <c r="C118" s="288"/>
      <c r="D118" s="288"/>
      <c r="E118" s="288"/>
      <c r="F118" s="288"/>
      <c r="G118" s="288"/>
      <c r="H118" s="288"/>
      <c r="I118" s="288"/>
      <c r="J118" s="263"/>
      <c r="K118" s="263"/>
      <c r="L118" s="288"/>
      <c r="M118" s="16"/>
      <c r="N118" s="9"/>
      <c r="O118" s="269"/>
      <c r="P118" s="269"/>
      <c r="Q118" s="269"/>
      <c r="R118" s="95"/>
      <c r="T118" s="291"/>
      <c r="U118" s="135"/>
      <c r="V118" s="135"/>
      <c r="W118" s="152" t="s">
        <v>155</v>
      </c>
      <c r="X118" s="263" t="e">
        <f>IF(X115=0,          0,         X119-1)</f>
        <v>#REF!</v>
      </c>
      <c r="Y118" s="122"/>
      <c r="Z118" s="122"/>
      <c r="AA118" s="128"/>
      <c r="AB118" s="539"/>
      <c r="AC118" s="539"/>
      <c r="AD118" s="158"/>
      <c r="AE118" s="158"/>
    </row>
    <row r="119" spans="1:31" ht="23.25" x14ac:dyDescent="0.25">
      <c r="A119" s="288"/>
      <c r="B119" s="288"/>
      <c r="C119" s="288">
        <f>7713/9</f>
        <v>857</v>
      </c>
      <c r="D119" s="288"/>
      <c r="E119" s="288"/>
      <c r="F119" s="288"/>
      <c r="G119" s="288"/>
      <c r="H119" s="288"/>
      <c r="I119" s="136" t="s">
        <v>193</v>
      </c>
      <c r="J119" s="263" t="e">
        <f>P13+P21+P79+P85+P134+P142</f>
        <v>#REF!</v>
      </c>
      <c r="K119" s="263" t="e">
        <f>P17+P25+P29+P82+P88+P138+P146</f>
        <v>#REF!</v>
      </c>
      <c r="L119" s="288"/>
      <c r="M119" s="16"/>
      <c r="N119" s="9"/>
      <c r="O119" s="269"/>
      <c r="P119" s="269"/>
      <c r="Q119" s="269"/>
      <c r="R119" s="95"/>
      <c r="T119" s="7"/>
      <c r="U119" s="135"/>
      <c r="V119" s="135"/>
      <c r="W119" s="152" t="s">
        <v>157</v>
      </c>
      <c r="X119" s="263" t="e">
        <f>IF(X115=0,       0,      IF(X115=X114,           Z100-1,          Z100))</f>
        <v>#REF!</v>
      </c>
      <c r="Y119" s="122"/>
      <c r="Z119" s="122"/>
      <c r="AA119" s="128"/>
      <c r="AB119" s="538"/>
      <c r="AC119" s="538"/>
      <c r="AD119" s="158"/>
      <c r="AE119" s="158"/>
    </row>
    <row r="120" spans="1:31" ht="23.25" x14ac:dyDescent="0.25">
      <c r="A120" s="288"/>
      <c r="B120" s="288" t="s">
        <v>194</v>
      </c>
      <c r="C120" s="288" t="e">
        <f>IF(#REF!="Imperial", IF(#REF!="SC-44",        9,       6),          IF(#REF!="SC-44",         225,      150))</f>
        <v>#REF!</v>
      </c>
      <c r="D120" s="288"/>
      <c r="E120" s="288" t="e">
        <f>((D61*D63*(18+6))/1728)*0.4</f>
        <v>#REF!</v>
      </c>
      <c r="F120" s="288" t="e">
        <f>((D61*(6+18-4.5)*(C65+6))/1728)*0.4</f>
        <v>#REF!</v>
      </c>
      <c r="G120" s="288" t="e">
        <f>((D61*18*(18-4.5))/1728)*0.4</f>
        <v>#REF!</v>
      </c>
      <c r="H120" s="288" t="e">
        <f>E120+F120+(2*G120)</f>
        <v>#REF!</v>
      </c>
      <c r="I120" s="288" t="e">
        <f>F67+H120</f>
        <v>#REF!</v>
      </c>
      <c r="J120" s="263" t="e">
        <f>J119*C67</f>
        <v>#REF!</v>
      </c>
      <c r="K120" s="263" t="e">
        <f>K119*H67</f>
        <v>#REF!</v>
      </c>
      <c r="L120" s="288"/>
      <c r="M120" s="16"/>
      <c r="N120" s="9"/>
      <c r="O120" s="269"/>
      <c r="P120" s="269"/>
      <c r="Q120" s="269"/>
      <c r="R120" s="95"/>
      <c r="U120" s="135"/>
      <c r="V120" s="135"/>
      <c r="W120" s="123"/>
      <c r="X120" s="123"/>
      <c r="Y120" s="123"/>
      <c r="Z120" s="123"/>
      <c r="AA120" s="128"/>
      <c r="AB120" s="135"/>
      <c r="AC120" s="158"/>
      <c r="AD120" s="158"/>
      <c r="AE120" s="158"/>
    </row>
    <row r="121" spans="1:31" ht="23.25" x14ac:dyDescent="0.25">
      <c r="A121" s="288"/>
      <c r="B121" s="288"/>
      <c r="C121" s="288"/>
      <c r="D121" s="288"/>
      <c r="E121" s="288"/>
      <c r="F121" s="288"/>
      <c r="G121" s="288"/>
      <c r="H121" s="288"/>
      <c r="I121" s="288"/>
      <c r="J121" s="288"/>
      <c r="K121" s="288"/>
      <c r="L121" s="288"/>
      <c r="M121" s="16"/>
      <c r="N121" s="9"/>
      <c r="O121" s="269"/>
      <c r="P121" s="269"/>
      <c r="Q121" s="269"/>
      <c r="R121" s="95"/>
      <c r="U121" s="288"/>
      <c r="V121" s="288"/>
      <c r="W121" s="530" t="s">
        <v>195</v>
      </c>
      <c r="X121" s="497" t="e">
        <f>IF(X115&gt;15, "yes",  "no")</f>
        <v>#REF!</v>
      </c>
      <c r="Y121" s="537" t="s">
        <v>196</v>
      </c>
      <c r="Z121" s="537"/>
      <c r="AA121" s="288" t="s">
        <v>197</v>
      </c>
      <c r="AB121" s="135"/>
      <c r="AC121" s="158"/>
      <c r="AD121" s="158"/>
      <c r="AE121" s="158"/>
    </row>
    <row r="122" spans="1:31" ht="23.25" x14ac:dyDescent="0.25">
      <c r="A122" s="288"/>
      <c r="B122" s="288"/>
      <c r="C122" s="288"/>
      <c r="D122" s="288"/>
      <c r="E122" s="288" t="e">
        <f>((D61*D63*18)/1728)*0.4</f>
        <v>#REF!</v>
      </c>
      <c r="F122" s="288" t="e">
        <f>((D61*(18-4.5)*C65)/1728)*0.4</f>
        <v>#REF!</v>
      </c>
      <c r="G122" s="288" t="e">
        <f>((D61*18*(18-4.5))/1728)*0.4</f>
        <v>#REF!</v>
      </c>
      <c r="H122" s="288" t="e">
        <f>2*(E122+F122+G122)</f>
        <v>#REF!</v>
      </c>
      <c r="I122" s="288" t="e">
        <f>122.58+H122</f>
        <v>#REF!</v>
      </c>
      <c r="J122" s="288"/>
      <c r="K122" s="288"/>
      <c r="L122" s="288"/>
      <c r="M122" s="16"/>
      <c r="N122" s="9"/>
      <c r="O122" s="269"/>
      <c r="P122" s="269"/>
      <c r="Q122" s="269"/>
      <c r="R122" s="95"/>
      <c r="U122" s="288"/>
      <c r="V122" s="288"/>
      <c r="W122" s="530"/>
      <c r="X122" s="497"/>
      <c r="Y122" s="537"/>
      <c r="Z122" s="537"/>
      <c r="AA122" s="263" t="e">
        <f>IF(X123="yes",         1,      IF(X121="yes",       3,       2))</f>
        <v>#REF!</v>
      </c>
      <c r="AB122" s="135"/>
      <c r="AC122" s="158"/>
      <c r="AD122" s="158"/>
      <c r="AE122" s="158"/>
    </row>
    <row r="123" spans="1:31" ht="23.25" x14ac:dyDescent="0.25">
      <c r="A123" s="288"/>
      <c r="B123" s="288"/>
      <c r="C123" s="288"/>
      <c r="D123" s="288"/>
      <c r="E123" s="288"/>
      <c r="M123" s="5"/>
      <c r="N123" s="9"/>
      <c r="O123" s="269"/>
      <c r="P123" s="269"/>
      <c r="Q123" s="269"/>
      <c r="R123" s="95"/>
      <c r="T123" s="297"/>
      <c r="U123" s="288"/>
      <c r="V123" s="288"/>
      <c r="W123" s="152" t="s">
        <v>198</v>
      </c>
      <c r="X123" s="263" t="e">
        <f>IF(X115&lt;4,      "yes",        "no")</f>
        <v>#REF!</v>
      </c>
      <c r="Y123" s="122" t="s">
        <v>199</v>
      </c>
      <c r="Z123" s="122"/>
      <c r="AA123" s="127"/>
      <c r="AB123" s="135"/>
      <c r="AC123" s="158"/>
      <c r="AD123" s="158"/>
      <c r="AE123" s="158"/>
    </row>
    <row r="124" spans="1:31" ht="23.25" x14ac:dyDescent="0.25">
      <c r="A124" s="288"/>
      <c r="B124" s="288" t="s">
        <v>200</v>
      </c>
      <c r="C124" s="288" t="e">
        <f>IF(#REF!="Imperial",          IF(#REF!="SC-44",           12,         6),         IF(#REF!="SC-44",           300,         150))</f>
        <v>#REF!</v>
      </c>
      <c r="D124" s="288"/>
      <c r="E124" s="288"/>
      <c r="M124" s="5"/>
      <c r="N124" s="9"/>
      <c r="O124" s="269"/>
      <c r="P124" s="269"/>
      <c r="Q124" s="269"/>
      <c r="R124" s="95"/>
      <c r="T124" s="297"/>
      <c r="Z124" s="103"/>
      <c r="AA124" s="7"/>
      <c r="AB124" s="18"/>
      <c r="AC124" s="2"/>
      <c r="AD124" s="2"/>
      <c r="AE124" s="2"/>
    </row>
    <row r="125" spans="1:31" ht="23.25" x14ac:dyDescent="0.25">
      <c r="A125" s="288"/>
      <c r="B125" s="288" t="s">
        <v>201</v>
      </c>
      <c r="C125" s="288" t="e">
        <f>IF(#REF!="Imperial",       IF(#REF!="SC-44",       96,       192),    IF(#REF!="SC-44",     2435,     4875))</f>
        <v>#REF!</v>
      </c>
      <c r="D125" s="288"/>
      <c r="E125" s="288"/>
      <c r="M125" s="6"/>
      <c r="N125" s="9"/>
      <c r="O125" s="269"/>
      <c r="P125" s="269"/>
      <c r="Q125" s="269"/>
      <c r="R125" s="95"/>
      <c r="T125" s="297"/>
      <c r="Y125" s="103"/>
      <c r="Z125" s="103"/>
      <c r="AA125" s="7"/>
      <c r="AB125" s="18"/>
      <c r="AC125" s="2"/>
      <c r="AD125" s="2"/>
      <c r="AE125" s="2"/>
    </row>
    <row r="126" spans="1:31" ht="23.25" x14ac:dyDescent="0.25">
      <c r="A126" s="288"/>
      <c r="B126" s="288"/>
      <c r="C126" s="288"/>
      <c r="D126" s="288"/>
      <c r="E126" s="288"/>
      <c r="M126" s="6"/>
      <c r="N126" s="9"/>
      <c r="O126" s="269"/>
      <c r="P126" s="269"/>
      <c r="Q126" s="269"/>
      <c r="R126" s="95"/>
      <c r="T126" s="297"/>
      <c r="U126" s="12"/>
      <c r="V126" s="12"/>
      <c r="Z126" s="103"/>
      <c r="AA126" s="7"/>
      <c r="AB126" s="18"/>
      <c r="AC126" s="2"/>
      <c r="AD126" s="2"/>
      <c r="AE126" s="2"/>
    </row>
    <row r="127" spans="1:31" ht="23.25" x14ac:dyDescent="0.25">
      <c r="A127" s="288"/>
      <c r="B127" s="288" t="s">
        <v>202</v>
      </c>
      <c r="C127" s="288" t="e">
        <f>IF(#REF!="Imperial",         IF(#REF!="SC-44",       22,       18),            IF(#REF!="SC-44",        550,         450))</f>
        <v>#REF!</v>
      </c>
      <c r="D127" s="288"/>
      <c r="E127" s="288"/>
      <c r="M127" s="6"/>
      <c r="N127" s="9"/>
      <c r="O127" s="269"/>
      <c r="P127" s="269"/>
      <c r="Q127" s="269"/>
      <c r="R127" s="95"/>
      <c r="T127" s="297"/>
      <c r="W127" s="22"/>
      <c r="X127" s="297"/>
      <c r="Y127" s="103"/>
      <c r="Z127" s="103"/>
      <c r="AA127" s="7"/>
      <c r="AB127" s="18"/>
      <c r="AC127" s="2"/>
      <c r="AD127" s="2"/>
      <c r="AE127" s="2"/>
    </row>
    <row r="128" spans="1:31" ht="23.25" x14ac:dyDescent="0.25">
      <c r="A128" s="288"/>
      <c r="B128" s="288"/>
      <c r="C128" s="288"/>
      <c r="D128" s="288"/>
      <c r="E128" s="288"/>
      <c r="M128" s="6"/>
      <c r="N128" s="9"/>
      <c r="O128" s="269"/>
      <c r="P128" s="269"/>
      <c r="Q128" s="269"/>
      <c r="R128" s="95"/>
      <c r="T128" s="297"/>
      <c r="AA128" s="7"/>
      <c r="AB128" s="18"/>
      <c r="AC128" s="2"/>
      <c r="AD128" s="2"/>
      <c r="AE128" s="2"/>
    </row>
    <row r="129" spans="1:31" ht="23.25" x14ac:dyDescent="0.25">
      <c r="A129" s="288"/>
      <c r="B129" s="288" t="s">
        <v>203</v>
      </c>
      <c r="C129" s="288" t="e">
        <f>IF(#REF!="Imperial",          IF(#REF!="SC-44",         96,           192),           IF(#REF!="SC-44",           2435,           4880))</f>
        <v>#REF!</v>
      </c>
      <c r="D129" s="288"/>
      <c r="E129" s="288"/>
      <c r="M129" s="6"/>
      <c r="N129" s="9"/>
      <c r="O129" s="9"/>
      <c r="T129" s="297"/>
      <c r="W129" s="22"/>
      <c r="X129" s="297"/>
      <c r="Y129" s="103"/>
      <c r="Z129" s="103"/>
      <c r="AA129" s="7"/>
      <c r="AB129" s="18"/>
      <c r="AC129" s="2"/>
      <c r="AD129" s="2"/>
      <c r="AE129" s="2"/>
    </row>
    <row r="130" spans="1:31" ht="15.75" x14ac:dyDescent="0.25">
      <c r="A130" s="288"/>
      <c r="B130" s="288"/>
      <c r="C130" s="288"/>
      <c r="D130" s="288" t="s">
        <v>204</v>
      </c>
      <c r="E130" s="288" t="e">
        <f>IF(#REF!="Imperial",          12,          300)</f>
        <v>#REF!</v>
      </c>
      <c r="M130" s="6"/>
      <c r="N130" s="9"/>
      <c r="O130" s="262" t="str">
        <f>IF($H$15="Imperial",                 "Imperial (inches and ft)",               "Metric (mm and meters)")</f>
        <v>Metric (mm and meters)</v>
      </c>
      <c r="P130" s="513" t="e">
        <f>IF($H$23=1,               "by system width",             "by system length")</f>
        <v>#REF!</v>
      </c>
      <c r="Q130" s="513"/>
      <c r="R130" s="513"/>
      <c r="S130" s="513"/>
      <c r="T130" s="297"/>
      <c r="U130" s="512" t="s">
        <v>205</v>
      </c>
      <c r="V130" s="512"/>
      <c r="W130" s="512"/>
      <c r="X130" s="512"/>
      <c r="Y130" s="512"/>
      <c r="Z130" s="512"/>
      <c r="AA130" s="512"/>
      <c r="AB130" s="512"/>
      <c r="AC130" s="512"/>
      <c r="AD130" s="495"/>
      <c r="AE130" s="495"/>
    </row>
    <row r="131" spans="1:31" x14ac:dyDescent="0.25">
      <c r="A131" s="288"/>
      <c r="B131" s="288" t="s">
        <v>206</v>
      </c>
      <c r="C131" s="288" t="e">
        <f>IF(#REF!="Imperial",          IF(#REF!="SC-44",           9,         6),         IF(#REF!="SC-44",           225,         150))</f>
        <v>#REF!</v>
      </c>
      <c r="D131" s="288"/>
      <c r="E131" s="288"/>
      <c r="M131" s="5"/>
      <c r="N131" s="9"/>
      <c r="O131" s="501" t="s">
        <v>42</v>
      </c>
      <c r="P131" s="508" t="s">
        <v>43</v>
      </c>
      <c r="Q131" s="501" t="s">
        <v>44</v>
      </c>
      <c r="R131" s="501" t="s">
        <v>45</v>
      </c>
      <c r="S131" s="501" t="s">
        <v>46</v>
      </c>
      <c r="T131" s="291"/>
      <c r="U131" s="512"/>
      <c r="V131" s="512"/>
      <c r="W131" s="512"/>
      <c r="X131" s="512"/>
      <c r="Y131" s="512"/>
      <c r="Z131" s="512"/>
      <c r="AA131" s="512"/>
      <c r="AB131" s="512"/>
      <c r="AC131" s="512"/>
      <c r="AD131" s="495"/>
      <c r="AE131" s="495"/>
    </row>
    <row r="132" spans="1:31" ht="45" x14ac:dyDescent="0.25">
      <c r="A132" s="288"/>
      <c r="B132" s="267" t="e">
        <f>IF(#REF!="Imperial",         "Cubic Yards",         "Cubic Meters")</f>
        <v>#REF!</v>
      </c>
      <c r="C132" s="268" t="s">
        <v>207</v>
      </c>
      <c r="D132" s="268" t="s">
        <v>208</v>
      </c>
      <c r="E132" s="268" t="s">
        <v>209</v>
      </c>
      <c r="M132" s="5"/>
      <c r="N132" s="9"/>
      <c r="O132" s="501"/>
      <c r="P132" s="508"/>
      <c r="Q132" s="501"/>
      <c r="R132" s="501"/>
      <c r="S132" s="501"/>
      <c r="T132" s="291"/>
      <c r="U132" s="519" t="s">
        <v>29</v>
      </c>
      <c r="V132" s="519"/>
      <c r="W132" s="519"/>
      <c r="X132" s="519"/>
      <c r="Y132" s="519"/>
      <c r="Z132" s="519"/>
      <c r="AA132" s="519"/>
      <c r="AB132" s="519"/>
      <c r="AC132" s="519"/>
      <c r="AD132" s="495"/>
      <c r="AE132" s="495"/>
    </row>
    <row r="133" spans="1:31" x14ac:dyDescent="0.25">
      <c r="A133" s="288"/>
      <c r="B133" s="137" t="s">
        <v>210</v>
      </c>
      <c r="C133" s="288" t="e">
        <f>IF(#REF!=0,     IF(#REF!="Imperial",           (#REF!*#REF!*#REF!)/27,               (#REF!*#REF!*#REF!)),      IF(#REF!="Imperial",       ((#REF!*#REF!*#REF!)-((#REF!-#REF!)*L67))/27,      (#REF!*#REF!*#REF!)-((#REF!-#REF!)*L67)))</f>
        <v>#REF!</v>
      </c>
      <c r="D133" s="288" t="e">
        <f>IF(#REF!="Imperial",       IF(#REF!=0,        IF(#REF!&lt;=2,           ((#REF!*#REF!)*C67)/27,           (((2*#REF!)*C67)+(((#REF!-2)*#REF!)*H67))/27),               IF(#REF!&lt;=2,         (((#REF!*#REF!)*C67)+((#REF!*#REF!)*H67))/27,                                              IF(#REF!&lt;=2,               (((2*#REF!)*C67)+((#REF!*#REF!)*C67)+(((#REF!-2)*#REF!)*H67))/27,                  (((2*#REF!)*C67)+((2*#REF!)*C67)+(((#REF!-2)*#REF!)*H67)+(((#REF!-2)*#REF!)*H67))/27))),                                          IF(#REF!=0,             IF(#REF!&lt;=2,                 (#REF!*#REF!)*C67,                    ((2*#REF!)*C67)+(((#REF!-2)*#REF!)*H67)),                           IF(#REF!&lt;=2,             ((#REF!*#REF!)*C67)+((#REF!*#REF!)*H67),                                              IF(#REF!&lt;=2,               ((2*#REF!)*C67)+((#REF!*#REF!)*C67)+(((#REF!-2)*#REF!)*H67),                  ((2*#REF!)*C67)+((2*#REF!)*C67)+(((#REF!-2)*#REF!)*H67)+(((#REF!-2)*#REF!)*H67)))))</f>
        <v>#REF!</v>
      </c>
      <c r="E133" s="288" t="e">
        <f>C133-D133</f>
        <v>#REF!</v>
      </c>
      <c r="M133" s="5"/>
      <c r="N133" s="9"/>
      <c r="O133" s="501"/>
      <c r="P133" s="508"/>
      <c r="Q133" s="501"/>
      <c r="R133" s="501"/>
      <c r="S133" s="501"/>
      <c r="T133" s="291"/>
      <c r="U133" s="519"/>
      <c r="V133" s="519"/>
      <c r="W133" s="519"/>
      <c r="X133" s="519"/>
      <c r="Y133" s="519"/>
      <c r="Z133" s="519"/>
      <c r="AA133" s="519"/>
      <c r="AB133" s="519"/>
      <c r="AC133" s="519"/>
      <c r="AD133" s="495" t="s">
        <v>34</v>
      </c>
      <c r="AE133" s="493" t="s">
        <v>35</v>
      </c>
    </row>
    <row r="134" spans="1:31" x14ac:dyDescent="0.25">
      <c r="A134" s="288"/>
      <c r="B134" s="137"/>
      <c r="C134" s="288"/>
      <c r="D134" s="288"/>
      <c r="E134" s="288"/>
      <c r="M134" s="7"/>
      <c r="N134" s="9"/>
      <c r="O134" s="501"/>
      <c r="P134" s="138" t="e">
        <f>IF(#REF!&lt;3,     0,        IF(S150=1,         IF(S151=1,    1,    2),             IF(S151=1,    2,    4)))</f>
        <v>#REF!</v>
      </c>
      <c r="Q134" s="138" t="e">
        <f>IF(P134=0,     0,        IF(P134=1,          P134*(D31+D33),                  IF(P134=2,             IF(S151=1,         H31+H33,            K31+K33),             P134*D93)))</f>
        <v>#REF!</v>
      </c>
      <c r="R134" s="138" t="e">
        <f>IF(P134=0,     0,        IF(P134=1,          P134*D7,                  IF(P134=2,             IF(S151=1,         H7,            P134*C93),             P134*C93)))</f>
        <v>#REF!</v>
      </c>
      <c r="S134" s="138" t="e">
        <f>Q134+R134</f>
        <v>#REF!</v>
      </c>
      <c r="T134" s="108"/>
      <c r="U134" s="494" t="str">
        <f>IF($H$15="Imperial",       "Required Cubic Feet",       "Required Cubic Meters")</f>
        <v>Required Cubic Meters</v>
      </c>
      <c r="V134" s="494" t="str">
        <f>IF($H$15="Imperial",       "Required Cubic Inches",       "Required Cubic mm")</f>
        <v>Required Cubic mm</v>
      </c>
      <c r="W134" s="494" t="e">
        <f>IF(Y2=1,       "Constraint Dimension (Width)",       "Constraint Dimension (Length)")</f>
        <v>#REF!</v>
      </c>
      <c r="X134" s="494" t="e">
        <f>IF(Y2=1,       "(Constraint Width-2endR Width)/midR Width",       "(Constriant Length-2endC length)/midC length")</f>
        <v>#REF!</v>
      </c>
      <c r="Y134" s="494"/>
      <c r="Z134" s="494" t="e">
        <f>IF(Y2=1,       "RoundDown for Maximum Number of midR",       "RoundDown for Maximum Number of midCs per Row")</f>
        <v>#REF!</v>
      </c>
      <c r="AA134" s="494"/>
      <c r="AB134" s="494" t="e">
        <f>IF(Y2=1,       "Max suggested Number of Rows",      "Maximum Number of Chambers per Row")</f>
        <v>#REF!</v>
      </c>
      <c r="AC134" s="494"/>
      <c r="AD134" s="495"/>
      <c r="AE134" s="493"/>
    </row>
    <row r="135" spans="1:31" x14ac:dyDescent="0.25">
      <c r="A135" s="288"/>
      <c r="B135" s="137" t="s">
        <v>212</v>
      </c>
      <c r="C135" s="288"/>
      <c r="D135" s="288"/>
      <c r="E135" s="288"/>
      <c r="M135" s="7"/>
      <c r="N135" s="9"/>
      <c r="O135" s="501" t="s">
        <v>51</v>
      </c>
      <c r="P135" s="508" t="s">
        <v>43</v>
      </c>
      <c r="Q135" s="501" t="s">
        <v>44</v>
      </c>
      <c r="R135" s="501" t="s">
        <v>45</v>
      </c>
      <c r="S135" s="501" t="s">
        <v>46</v>
      </c>
      <c r="U135" s="494"/>
      <c r="V135" s="494"/>
      <c r="W135" s="494"/>
      <c r="X135" s="494"/>
      <c r="Y135" s="494"/>
      <c r="Z135" s="494"/>
      <c r="AA135" s="494"/>
      <c r="AB135" s="494"/>
      <c r="AC135" s="494"/>
      <c r="AD135" s="499" t="e">
        <f>IF(Y2=1,    IF(#REF!="Imperial",      IF(AB136=1,    (D91+#REF!-(#REF!/2))/12,   ((2*D91)+((AB136-2)*E91))/12),          IF(AB136=1,        (D91+#REF!-(#REF!/2))/1000,      ((2*D91)+((AB136-2)*E91))/1000)),                            IF(#REF!="Imperial",          IF(Y143=1,     (D91+#REF!-(#REF!/2))/12,      ((2*D91)+((Y143-2)*E91))/12),             IF(Y143=1,        (D91+#REF!-(#REF!/2))/1000,      ((2*D91)+((Y143-2)*E91))/1000)))</f>
        <v>#REF!</v>
      </c>
      <c r="AE135" s="499" t="e">
        <f>IF(Y2=1,                 "N/A",                 IF(#REF!="Imperial",                  IF(AB136=1,                 (D5+#REF!+#REF!)/12,               ((2*D92)+((AB136-2)*I92))/12),                                                                                                                              IF(AB136=1,            (D5+#REF!+#REF!)/1000,               ((2*D92)+((AB136-2)*I92))/1000)))</f>
        <v>#REF!</v>
      </c>
    </row>
    <row r="136" spans="1:31" ht="23.25" x14ac:dyDescent="0.25">
      <c r="A136" s="288"/>
      <c r="B136" s="136" t="s">
        <v>214</v>
      </c>
      <c r="C136" s="288" t="e">
        <f>IF(#REF!="Imperial",                (#REF!*#REF!*#REF!)/27,#REF!           *#REF!*#REF!)</f>
        <v>#REF!</v>
      </c>
      <c r="D136" s="288" t="e">
        <f>IF(#REF!="Imperial",        IF(#REF!=0,         IF(#REF!&lt;=2,          ((#REF!*#REF!)*C81)/27,            ((((#REF!-2)*#REF!)*H81)+((2*#REF!)*C81))/27),       IF(#REF!&lt;=2,      (((#REF!*#REF!)*C81)+((#REF!*#REF!)*C81))/27,       IF(#REF!&lt;=2,      (((2*#REF!)*C81)+((#REF!*#REF!)*C81)+(((#REF!-2)*#REF!)*H81))/27,                    (((2*#REF!)*C81)+((2*#REF!)*C81)+(((#REF!-2)*#REF!)*H81)+(((#REF!-2)*#REF!)*H81))/27))),                                         IF(#REF!=0,                 IF(#REF!&lt;=2,               (#REF!*#REF!)*C81,            (((#REF!-2)*#REF!)*H81)+((2*#REF!)*C81)),               IF(#REF!&lt;=2,          ((#REF!*#REF!)*C81)+((#REF!*#REF!)*C81),                       IF(#REF!&lt;=2,                         ((2*#REF!)*C81)+((#REF!*#REF!)*C81)+(((#REF!-2)*#REF!)*H81),           ((2*#REF!)*C81)+((2*#REF!)*C81)+(((#REF!-2)*#REF!)*H81)+(((#REF!-2)*#REF!)*H81)))))</f>
        <v>#REF!</v>
      </c>
      <c r="E136" s="288" t="e">
        <f>C136-D136</f>
        <v>#REF!</v>
      </c>
      <c r="M136" s="2"/>
      <c r="N136" s="2"/>
      <c r="O136" s="501"/>
      <c r="P136" s="508"/>
      <c r="Q136" s="501"/>
      <c r="R136" s="501"/>
      <c r="S136" s="501"/>
      <c r="U136" s="495" t="e">
        <f>IF($H$37=1,       0,                 IF($H$37=2,      0,             IF(#REF!=3,      $H$17/3,        (#REF!-S193)/3)))</f>
        <v>#REF!</v>
      </c>
      <c r="V136" s="502" t="e">
        <f>IF($H$15="Imperial",         U136*1728,        U136*1000000000)</f>
        <v>#REF!</v>
      </c>
      <c r="W136" s="495" t="e">
        <f>IF(#REF!&lt;3,       0,       IF(#REF!=4,        IF(Y2=2,    S195,        S194),#REF!))</f>
        <v>#REF!</v>
      </c>
      <c r="X136" s="495" t="e">
        <f>IF($H$15="Imperial",                    IF(Y2=1,              ((W136*12)-(2*D91))/E91,                                    ((W136*12)-(2*D92))/I92),                                                                                                                                                                            IF(Y2=1,                                                                                                                     ((W136*1000)-(2*D91))/E91,                                ((W136*1000)-(2*D92))/I92))</f>
        <v>#REF!</v>
      </c>
      <c r="Y136" s="495"/>
      <c r="Z136" s="495" t="e">
        <f>IF(X136&lt;0,        0,         ROUNDDOWN(X136,0))</f>
        <v>#REF!</v>
      </c>
      <c r="AA136" s="495"/>
      <c r="AB136" s="495" t="e">
        <f>IF(U136&lt;=D35,     1,    IF(#REF!="Imperial",      IF(Y2=1,         IF(W136&lt;(((2*D91)/12)),         1,     Z136+2),             IF(W136&lt;(((2*D92)/12)),      1,    Z136+2)),                                                                                        IF(Y2=1,                                                                                                IF(W136&lt;(((2*D91)/1000)),     1,     Z136+2),             IF(W136&lt;(((2*D92)/1000)),       1,     Z136+2))))</f>
        <v>#REF!</v>
      </c>
      <c r="AC136" s="495"/>
      <c r="AD136" s="499"/>
      <c r="AE136" s="499"/>
    </row>
    <row r="137" spans="1:31" ht="23.25" x14ac:dyDescent="0.25">
      <c r="A137" s="288"/>
      <c r="B137" s="136" t="s">
        <v>215</v>
      </c>
      <c r="C137" s="288" t="e">
        <f>C133+C136</f>
        <v>#REF!</v>
      </c>
      <c r="D137" s="288" t="e">
        <f t="shared" ref="D137:E137" si="1">D133+D136</f>
        <v>#REF!</v>
      </c>
      <c r="E137" s="288" t="e">
        <f t="shared" si="1"/>
        <v>#REF!</v>
      </c>
      <c r="M137" s="2"/>
      <c r="N137" s="2"/>
      <c r="O137" s="501"/>
      <c r="P137" s="508"/>
      <c r="Q137" s="501"/>
      <c r="R137" s="501"/>
      <c r="S137" s="501"/>
      <c r="U137" s="495"/>
      <c r="V137" s="502"/>
      <c r="W137" s="495"/>
      <c r="X137" s="495"/>
      <c r="Y137" s="495"/>
      <c r="Z137" s="495"/>
      <c r="AA137" s="495"/>
      <c r="AB137" s="495"/>
      <c r="AC137" s="495"/>
      <c r="AD137" s="159"/>
      <c r="AE137" s="159"/>
    </row>
    <row r="138" spans="1:31" ht="15.75" x14ac:dyDescent="0.25">
      <c r="A138" s="288"/>
      <c r="B138" s="137"/>
      <c r="C138" s="288"/>
      <c r="D138" s="288"/>
      <c r="E138" s="288"/>
      <c r="M138" s="3"/>
      <c r="N138" s="3"/>
      <c r="O138" s="501"/>
      <c r="P138" s="139" t="e">
        <f>IF(#REF!&lt;3,       0,         IF(X154=0,        0,         IF(S150=1,        X154,    2*X154)))</f>
        <v>#REF!</v>
      </c>
      <c r="Q138" s="266" t="e">
        <f>P138*I93</f>
        <v>#REF!</v>
      </c>
      <c r="R138" s="272" t="e">
        <f>P138*H93</f>
        <v>#REF!</v>
      </c>
      <c r="S138" s="138" t="e">
        <f>IF(P138=0,           0,                 IF(#REF!="Imperial",               IF(W157=1,                Q138+R138+(P138*((((#REF!-(#REF!/2))*D89*D92)/1728)*(#REF!/100))),                        Q138+R138),                                                           IF(W157=1,                                                                                                              Q138+R138+(P138*((((#REF!-(#REF!/2))*D89*D92)/1000000000)*(#REF!/100))),                   Q138+R138)))</f>
        <v>#REF!</v>
      </c>
      <c r="U138" s="493" t="s">
        <v>52</v>
      </c>
      <c r="V138" s="493"/>
      <c r="W138" s="493"/>
      <c r="X138" s="493"/>
      <c r="Y138" s="493"/>
      <c r="Z138" s="493"/>
      <c r="AA138" s="493"/>
      <c r="AB138" s="493"/>
      <c r="AC138" s="493"/>
      <c r="AD138" s="159"/>
      <c r="AE138" s="159"/>
    </row>
    <row r="139" spans="1:31" x14ac:dyDescent="0.25">
      <c r="A139" s="288"/>
      <c r="B139" s="137" t="s">
        <v>218</v>
      </c>
      <c r="C139" s="288" t="s">
        <v>219</v>
      </c>
      <c r="D139" s="288"/>
      <c r="E139" s="288"/>
      <c r="M139" s="5"/>
      <c r="N139" s="9"/>
      <c r="O139" s="501" t="s">
        <v>61</v>
      </c>
      <c r="P139" s="508" t="s">
        <v>43</v>
      </c>
      <c r="Q139" s="501" t="s">
        <v>44</v>
      </c>
      <c r="R139" s="501" t="s">
        <v>45</v>
      </c>
      <c r="S139" s="501" t="s">
        <v>46</v>
      </c>
      <c r="U139" s="493"/>
      <c r="V139" s="493"/>
      <c r="W139" s="493"/>
      <c r="X139" s="493"/>
      <c r="Y139" s="493"/>
      <c r="Z139" s="493"/>
      <c r="AA139" s="493"/>
      <c r="AB139" s="493"/>
      <c r="AC139" s="493"/>
      <c r="AD139" s="159"/>
      <c r="AE139" s="159"/>
    </row>
    <row r="140" spans="1:31" x14ac:dyDescent="0.25">
      <c r="A140" s="288"/>
      <c r="B140" s="136" t="s">
        <v>220</v>
      </c>
      <c r="C140" s="288" t="e">
        <f>IF(#REF!="Imperial",                   (#REF!*#REF!*#REF!)/27,#REF!             *#REF!*#REF!)</f>
        <v>#REF!</v>
      </c>
      <c r="D140" s="288" t="e">
        <f>IF(#REF!="Imperial",                IF(#REF!&lt;=2,               ((#REF!*#REF!)*C93)/27,                   (((2*#REF!)*C93)+(((#REF!-2)*#REF!)*H93))/27),             IF(#REF!&lt;=2,               ((#REF!*#REF!)*C93),                   ((2*#REF!)*C93)+(((#REF!-2)*#REF!)*H93)))</f>
        <v>#REF!</v>
      </c>
      <c r="E140" s="288" t="e">
        <f>C140-D140</f>
        <v>#REF!</v>
      </c>
      <c r="M140" s="16"/>
      <c r="N140" s="9"/>
      <c r="O140" s="501"/>
      <c r="P140" s="508"/>
      <c r="Q140" s="501"/>
      <c r="R140" s="501"/>
      <c r="S140" s="501"/>
      <c r="U140" s="494" t="e">
        <f>IF(Y2=1,    "",      "number of endCs per fullR*endRendCvolumes")</f>
        <v>#REF!</v>
      </c>
      <c r="V140" s="494" t="e">
        <f>IF(Y2=1,       "",      "Max number of midC per fullR*endRmidC Volume")</f>
        <v>#REF!</v>
      </c>
      <c r="W140" s="494"/>
      <c r="X140" s="494" t="e">
        <f>IF(Y2=1,     "",      "Number of End Rows")</f>
        <v>#REF!</v>
      </c>
      <c r="Y140" s="494" t="e">
        <f>IF(Y2=1,        "",     "min number of rows suggested")</f>
        <v>#REF!</v>
      </c>
      <c r="Z140" s="494"/>
      <c r="AA140" s="493" t="s">
        <v>56</v>
      </c>
      <c r="AB140" s="493"/>
      <c r="AC140" s="493"/>
      <c r="AD140" s="159"/>
      <c r="AE140" s="159"/>
    </row>
    <row r="141" spans="1:31" x14ac:dyDescent="0.25">
      <c r="A141" s="288"/>
      <c r="B141" s="136" t="s">
        <v>215</v>
      </c>
      <c r="C141" s="288" t="e">
        <f>C137+C140</f>
        <v>#REF!</v>
      </c>
      <c r="D141" s="288" t="e">
        <f t="shared" ref="D141" si="2">D137+D140</f>
        <v>#REF!</v>
      </c>
      <c r="E141" s="288" t="e">
        <f>E137+E140</f>
        <v>#REF!</v>
      </c>
      <c r="M141" s="16"/>
      <c r="N141" s="9"/>
      <c r="O141" s="501"/>
      <c r="P141" s="508"/>
      <c r="Q141" s="501"/>
      <c r="R141" s="501"/>
      <c r="S141" s="501"/>
      <c r="U141" s="494"/>
      <c r="V141" s="494"/>
      <c r="W141" s="494"/>
      <c r="X141" s="494"/>
      <c r="Y141" s="494"/>
      <c r="Z141" s="494"/>
      <c r="AA141" s="493"/>
      <c r="AB141" s="493"/>
      <c r="AC141" s="493"/>
      <c r="AD141" s="159"/>
      <c r="AE141" s="159"/>
    </row>
    <row r="142" spans="1:31" x14ac:dyDescent="0.25">
      <c r="M142" s="16"/>
      <c r="N142" s="9"/>
      <c r="O142" s="501"/>
      <c r="P142" s="139" t="e">
        <f>IF(#REF!&lt;3,     0,            IF(X149=0,     0,             IF(W158=1,                  X149,          2*X149)))</f>
        <v>#REF!</v>
      </c>
      <c r="Q142" s="266" t="e">
        <f>IF(P142=0,       0,             IF(S151=1,          P142*(D31+D33),            P142*E93))</f>
        <v>#REF!</v>
      </c>
      <c r="R142" s="272" t="e">
        <f>IF(P142=0,     0,          IF(S151=1,           P142*D7,          P142*C93))</f>
        <v>#REF!</v>
      </c>
      <c r="S142" s="138" t="e">
        <f>Q142+R142</f>
        <v>#REF!</v>
      </c>
      <c r="U142" s="494"/>
      <c r="V142" s="494"/>
      <c r="W142" s="494"/>
      <c r="X142" s="494"/>
      <c r="Y142" s="494"/>
      <c r="Z142" s="494"/>
      <c r="AA142" s="493"/>
      <c r="AB142" s="493"/>
      <c r="AC142" s="493"/>
      <c r="AD142" s="159"/>
      <c r="AE142" s="159"/>
    </row>
    <row r="143" spans="1:31" x14ac:dyDescent="0.25">
      <c r="L143" s="110"/>
      <c r="M143" s="16"/>
      <c r="N143" s="9"/>
      <c r="O143" s="501" t="s">
        <v>223</v>
      </c>
      <c r="P143" s="508" t="s">
        <v>43</v>
      </c>
      <c r="Q143" s="501" t="s">
        <v>44</v>
      </c>
      <c r="R143" s="501" t="s">
        <v>45</v>
      </c>
      <c r="S143" s="501" t="s">
        <v>46</v>
      </c>
      <c r="U143" s="495" t="e">
        <f>IF(Y2=1,         0,             IF(#REF!="Imperial",                     IF(AB136=1,            (D7+D31)+(((#REF!*D89*(D91))/1728)*(#REF!/100)),               2*F93),                                                                                                                                                                                                                                          IF(AB136=1,                                         (D7+D31)+(((#REF!*D89*(D91))/1000000000)*(#REF!/100)),            2*F93)))</f>
        <v>#REF!</v>
      </c>
      <c r="V143" s="495" t="e">
        <f>IF(Y2=1,     0,      IF(Z136=0,       0,      Z136*K93))</f>
        <v>#REF!</v>
      </c>
      <c r="W143" s="495"/>
      <c r="X143" s="495" t="e">
        <f>IF(Y2=1,          0,        IF(AB136=1,                  IF(U136&lt;=D35,     1,              2),                    IF(AB136=2,                  IF(U136&lt;=K35,         1,              2),                                                                                                                                 IF(#REF!="Imperial",          IF(U136&lt;=((2*(F93+(((D89*(#REF!-4.5)*(D91+#REF!))/1728)*(#REF!/100))+(Z136*(K93+(((I89*(#REF!-4.5)*I92)/1728)*(#REF!/100))))))),          1,             2),                                                                                                                               IF(U136&lt;=((2*(F93+(((D89*(#REF!-115)*(D91+#REF!))/1000000000)*(#REF!/100))+(Z136*(K93+(((I89*(#REF!-115)*I92)/1000000000)*(#REF!/100))))))),             1,             2)))))</f>
        <v>#REF!</v>
      </c>
      <c r="Y143" s="495" t="e">
        <f>IF(Y2=1,                0,            IF(U136&lt;=(2*(U143+V143)),                   X143,               IF(AB136=1,              (ROUNDUP((U136-(2*(U143+V143)))/(L41),0))+2,                                                                                       IF(AB136=2,                    (ROUNDUP((U136-(2*(U143+V143)))/(2*G93),0)+2),            (ROUNDUP((U136-(2*(U143+V143)))/((Z136*L93)+(2*G93)),0)+2)))))</f>
        <v>#REF!</v>
      </c>
      <c r="Z143" s="495"/>
      <c r="AA143" s="493"/>
      <c r="AB143" s="493"/>
      <c r="AC143" s="493"/>
      <c r="AD143" s="159"/>
      <c r="AE143" s="159"/>
    </row>
    <row r="144" spans="1:31" x14ac:dyDescent="0.25">
      <c r="L144" s="110"/>
      <c r="M144" s="16"/>
      <c r="N144" s="9"/>
      <c r="O144" s="501"/>
      <c r="P144" s="508"/>
      <c r="Q144" s="501"/>
      <c r="R144" s="501"/>
      <c r="S144" s="501"/>
      <c r="U144" s="495"/>
      <c r="V144" s="495"/>
      <c r="W144" s="495"/>
      <c r="X144" s="495"/>
      <c r="Y144" s="495"/>
      <c r="Z144" s="495"/>
      <c r="AA144" s="493"/>
      <c r="AB144" s="493"/>
      <c r="AC144" s="493"/>
      <c r="AD144" s="159"/>
      <c r="AE144" s="159"/>
    </row>
    <row r="145" spans="13:31" x14ac:dyDescent="0.25">
      <c r="M145" s="16"/>
      <c r="N145" s="9"/>
      <c r="O145" s="501"/>
      <c r="P145" s="508"/>
      <c r="Q145" s="501"/>
      <c r="R145" s="501"/>
      <c r="S145" s="501"/>
      <c r="U145" s="495" t="s">
        <v>68</v>
      </c>
      <c r="V145" s="495"/>
      <c r="W145" s="495"/>
      <c r="X145" s="495"/>
      <c r="Y145" s="495"/>
      <c r="Z145" s="495"/>
      <c r="AA145" s="495"/>
      <c r="AB145" s="495"/>
      <c r="AC145" s="495"/>
      <c r="AD145" s="159"/>
      <c r="AE145" s="159"/>
    </row>
    <row r="146" spans="13:31" x14ac:dyDescent="0.25">
      <c r="M146" s="5"/>
      <c r="N146" s="9"/>
      <c r="O146" s="501"/>
      <c r="P146" s="140" t="e">
        <f>IF(#REF!&lt;3,       0,         IF(X149=0,         0,          IF(X154=0,          0,          X149*X154)))</f>
        <v>#REF!</v>
      </c>
      <c r="Q146" s="272" t="e">
        <f>P146*J93</f>
        <v>#REF!</v>
      </c>
      <c r="R146" s="272" t="e">
        <f>P146*H93</f>
        <v>#REF!</v>
      </c>
      <c r="S146" s="138" t="e">
        <f>Q146+R146</f>
        <v>#REF!</v>
      </c>
      <c r="U146" s="496" t="s">
        <v>72</v>
      </c>
      <c r="V146" s="496" t="s">
        <v>226</v>
      </c>
      <c r="W146" s="496" t="s">
        <v>73</v>
      </c>
      <c r="X146" s="498" t="s">
        <v>74</v>
      </c>
      <c r="Y146" s="498" t="s">
        <v>75</v>
      </c>
      <c r="Z146" s="498"/>
      <c r="AA146" s="498" t="s">
        <v>76</v>
      </c>
      <c r="AB146" s="495"/>
      <c r="AC146" s="496" t="s">
        <v>78</v>
      </c>
      <c r="AD146" s="496"/>
      <c r="AE146" s="496"/>
    </row>
    <row r="147" spans="13:31" x14ac:dyDescent="0.25">
      <c r="M147" s="5"/>
      <c r="N147" s="9"/>
      <c r="O147" s="276" t="s">
        <v>80</v>
      </c>
      <c r="P147" s="289" t="e">
        <f>P134+P138+P142+P146</f>
        <v>#REF!</v>
      </c>
      <c r="Q147" s="289" t="e">
        <f t="shared" ref="Q147:S147" si="3">Q134+Q138+Q142+Q146</f>
        <v>#REF!</v>
      </c>
      <c r="R147" s="289" t="e">
        <f t="shared" si="3"/>
        <v>#REF!</v>
      </c>
      <c r="S147" s="289" t="e">
        <f t="shared" si="3"/>
        <v>#REF!</v>
      </c>
      <c r="U147" s="496"/>
      <c r="V147" s="496"/>
      <c r="W147" s="496"/>
      <c r="X147" s="498"/>
      <c r="Y147" s="498"/>
      <c r="Z147" s="498"/>
      <c r="AA147" s="498"/>
      <c r="AB147" s="495"/>
      <c r="AC147" s="496"/>
      <c r="AD147" s="496"/>
      <c r="AE147" s="496"/>
    </row>
    <row r="148" spans="13:31" x14ac:dyDescent="0.25">
      <c r="M148" s="5"/>
      <c r="N148" s="9"/>
      <c r="O148" s="107"/>
      <c r="P148" s="10"/>
      <c r="Q148" s="95"/>
      <c r="R148" s="95"/>
      <c r="S148" s="104"/>
      <c r="U148" s="496"/>
      <c r="V148" s="496"/>
      <c r="W148" s="496"/>
      <c r="X148" s="498"/>
      <c r="Y148" s="498"/>
      <c r="Z148" s="498"/>
      <c r="AA148" s="498"/>
      <c r="AB148" s="495"/>
      <c r="AC148" s="496" t="e">
        <f>IF(Y2=1,      "Maximum Number of Rows",                 "Minimum Number of Rows")</f>
        <v>#REF!</v>
      </c>
      <c r="AD148" s="496"/>
      <c r="AE148" s="498" t="e">
        <f>IF(Y2=1,             "N/A",                "Maximum Number of Chambers per Full Row")</f>
        <v>#REF!</v>
      </c>
    </row>
    <row r="149" spans="13:31" x14ac:dyDescent="0.25">
      <c r="M149" s="5"/>
      <c r="N149" s="9"/>
      <c r="O149" s="503" t="e">
        <f>IF($H$23=1,"Max suggested number of rows","Min suggested number of rows")</f>
        <v>#REF!</v>
      </c>
      <c r="P149" s="503"/>
      <c r="Q149" s="503"/>
      <c r="R149" s="503"/>
      <c r="S149" s="272" t="e">
        <f>IF(#REF!&lt;3,    0,       IF(Y2=1,        AB136,           Y143))</f>
        <v>#REF!</v>
      </c>
      <c r="U149" s="495" t="e">
        <f>U136</f>
        <v>#REF!</v>
      </c>
      <c r="V149" s="495" t="e">
        <f>S150</f>
        <v>#REF!</v>
      </c>
      <c r="W149" s="495" t="e">
        <f>IF(V149=1,       1,        2)</f>
        <v>#REF!</v>
      </c>
      <c r="X149" s="493" t="e">
        <f>IF(V149&lt;3,      0,        V149-2)</f>
        <v>#REF!</v>
      </c>
      <c r="Y149" s="493" t="e">
        <f>IF(V149=1,       IF(U149&lt;=D35,       D35,      K35/2),                     IF(V149=2,       IF(U149&lt;=H35,        H35,   2*F93),                  IF(U149&lt;=(H35+(X149*L41)),                          H35,         2*F93)))</f>
        <v>#REF!</v>
      </c>
      <c r="Z149" s="493"/>
      <c r="AA149" s="493" t="e">
        <f>IF(X149=0,           0,        IF((U149-Y149)&lt;=(X149*L41),             X149*L41,   X149*G93))</f>
        <v>#REF!</v>
      </c>
      <c r="AB149" s="495"/>
      <c r="AC149" s="496"/>
      <c r="AD149" s="496"/>
      <c r="AE149" s="498"/>
    </row>
    <row r="150" spans="13:31" x14ac:dyDescent="0.25">
      <c r="M150" s="6"/>
      <c r="N150" s="9"/>
      <c r="O150" s="154" t="e">
        <f>IF(#REF!=3,"Chosen number of rows","Default number of rows")</f>
        <v>#REF!</v>
      </c>
      <c r="P150" s="154"/>
      <c r="Q150" s="154"/>
      <c r="R150" s="154"/>
      <c r="S150" s="272" t="e">
        <f>IF(#REF!&lt;3,        0,          IF(#REF!=3,#REF!,         AC150))</f>
        <v>#REF!</v>
      </c>
      <c r="U150" s="495"/>
      <c r="V150" s="495"/>
      <c r="W150" s="495"/>
      <c r="X150" s="493"/>
      <c r="Y150" s="493"/>
      <c r="Z150" s="493"/>
      <c r="AA150" s="493"/>
      <c r="AB150" s="495"/>
      <c r="AC150" s="495" t="e">
        <f>IF(Y2=1,            AB136,        Y143)</f>
        <v>#REF!</v>
      </c>
      <c r="AD150" s="495"/>
      <c r="AE150" s="497" t="e">
        <f>IF(Y2=1,         0,                             AB136)</f>
        <v>#REF!</v>
      </c>
    </row>
    <row r="151" spans="13:31" x14ac:dyDescent="0.25">
      <c r="M151" s="6"/>
      <c r="N151" s="9"/>
      <c r="O151" s="154" t="e">
        <f>IF($H$23=1,"Min number of chambers per full Row","Max number of chambers per Row")</f>
        <v>#REF!</v>
      </c>
      <c r="P151" s="154"/>
      <c r="Q151" s="154"/>
      <c r="R151" s="154"/>
      <c r="S151" s="272" t="e">
        <f>IF(#REF!&lt;3,         0,          Z154)</f>
        <v>#REF!</v>
      </c>
      <c r="U151" s="493" t="s">
        <v>83</v>
      </c>
      <c r="V151" s="493"/>
      <c r="W151" s="498" t="s">
        <v>84</v>
      </c>
      <c r="X151" s="498" t="s">
        <v>85</v>
      </c>
      <c r="Y151" s="498"/>
      <c r="Z151" s="496" t="s">
        <v>86</v>
      </c>
      <c r="AA151" s="496"/>
      <c r="AB151" s="495"/>
      <c r="AC151" s="495"/>
      <c r="AD151" s="495"/>
      <c r="AE151" s="497"/>
    </row>
    <row r="152" spans="13:31" x14ac:dyDescent="0.25">
      <c r="M152" s="6"/>
      <c r="N152" s="9"/>
      <c r="O152" s="154" t="s">
        <v>105</v>
      </c>
      <c r="P152" s="154"/>
      <c r="Q152" s="154"/>
      <c r="R152" s="154"/>
      <c r="S152" s="272" t="e">
        <f>IF(#REF!&lt;3,0,"all")</f>
        <v>#REF!</v>
      </c>
      <c r="U152" s="493"/>
      <c r="V152" s="493"/>
      <c r="W152" s="498"/>
      <c r="X152" s="498"/>
      <c r="Y152" s="498"/>
      <c r="Z152" s="496"/>
      <c r="AA152" s="496"/>
      <c r="AB152" s="495"/>
      <c r="AC152" s="496" t="s">
        <v>94</v>
      </c>
      <c r="AD152" s="496"/>
      <c r="AE152" s="496"/>
    </row>
    <row r="153" spans="13:31" ht="15.75" x14ac:dyDescent="0.25">
      <c r="M153" s="6"/>
      <c r="N153" s="9"/>
      <c r="O153" s="155" t="s">
        <v>230</v>
      </c>
      <c r="P153" s="155"/>
      <c r="Q153" s="155"/>
      <c r="R153" s="155"/>
      <c r="S153" s="156" t="e">
        <f>S134+S138+S142+S146</f>
        <v>#REF!</v>
      </c>
      <c r="U153" s="493"/>
      <c r="V153" s="493"/>
      <c r="W153" s="498"/>
      <c r="X153" s="498"/>
      <c r="Y153" s="498"/>
      <c r="Z153" s="496"/>
      <c r="AA153" s="496"/>
      <c r="AB153" s="495"/>
      <c r="AC153" s="496"/>
      <c r="AD153" s="496"/>
      <c r="AE153" s="496"/>
    </row>
    <row r="154" spans="13:31" x14ac:dyDescent="0.25">
      <c r="M154" s="6"/>
      <c r="N154" s="9"/>
      <c r="O154" s="157" t="s">
        <v>113</v>
      </c>
      <c r="P154" s="157"/>
      <c r="Q154" s="157"/>
      <c r="R154" s="157"/>
      <c r="S154" s="139" t="e">
        <f>IF(#REF!&lt;3,      0,        IF(#REF!="Imperial",       IF(S151=1,           ((D5+#REF!+#REF!)/12),                    IF(S151=2,              (2*D92)/12,       ((((S151-2)*I92)+(2*D92))/12))),                                                                      IF(S151=1,                                                                                           ((D5+#REF!+#REF!)/1000),                   IF(S151=2,      ((2*D92)/1000),         ((((S151-2)*I92)+(2*D92))/1000)))))</f>
        <v>#REF!</v>
      </c>
      <c r="U154" s="493"/>
      <c r="V154" s="493"/>
      <c r="W154" s="495" t="e">
        <f>IF(V149=1,         IF(U149&lt;=D35,       1,        2),                 IF(V149=2,              IF(U149&lt;=H35,            1,           2),                IF(U149&lt;=(H35+(X149*L41)),        1,      2)))</f>
        <v>#REF!</v>
      </c>
      <c r="X154" s="495" t="e">
        <f>IF(AB136=0,   0,    IF(AND(V149=1,U149&lt;=K35),        0,             IF(U149&lt;=(2*(Y149+AA149)),     0,      IF(#REF!="Imperial",           IF(V149=1,          ROUNDUP((U149-(K35))/(K93+((((#REF!-(#REF!/2))*I89*I92)/1728)*(#REF!/100))),0),        IF(V149=2,             ROUNDUP((U149-(2*Y149))/(2*K93),0),            ROUNDUP((U149-(2*(Y149+AA149)))/((2*K93)+(X149*L93)),0))),                                                                                                                                                                                                           IF(V149=1,                        ROUNDUP((U149-(K35))/(K93+((((#REF!-(#REF!/2))*I89*I92)/1000000000)*(#REF!/100))),0),                                                                                                                                                             IF(V149=2,                        ROUNDUP((U149-(2*Y149))/(2*K93),0),          ROUNDUP((U149-(2*(Y149+AA149)))/((2*K93)+(X149*L93)),0)))))))</f>
        <v>#REF!</v>
      </c>
      <c r="Y154" s="495"/>
      <c r="Z154" s="495" t="e">
        <f>W154+X154</f>
        <v>#REF!</v>
      </c>
      <c r="AA154" s="495"/>
      <c r="AB154" s="495"/>
      <c r="AC154" s="498" t="s">
        <v>101</v>
      </c>
      <c r="AD154" s="498"/>
      <c r="AE154" s="539" t="s">
        <v>102</v>
      </c>
    </row>
    <row r="155" spans="13:31" x14ac:dyDescent="0.25">
      <c r="M155" s="6"/>
      <c r="N155" s="9"/>
      <c r="O155" s="532" t="s">
        <v>114</v>
      </c>
      <c r="P155" s="532"/>
      <c r="Q155" s="532"/>
      <c r="R155" s="532"/>
      <c r="S155" s="138" t="e">
        <f>IF(#REF!&lt;3,           0,          IF(#REF!="Imperial",          IF(S150=1,       ((D91+#REF!-(#REF!/2))/12),              IF(S150=2,              (2*D91)/12,         ((((S150-2)*E91)+(2*D91))/12))),                                                               IF(S150=1,                                                                                            (D91+#REF!-(#REF!/2))/1000,               IF(S150=2,         ((2*D91)/1000),       ((((S150-2)*E91)+(2*D91))/1000)))))</f>
        <v>#REF!</v>
      </c>
      <c r="U155" s="493"/>
      <c r="V155" s="493"/>
      <c r="W155" s="495"/>
      <c r="X155" s="495"/>
      <c r="Y155" s="495"/>
      <c r="Z155" s="495"/>
      <c r="AA155" s="495"/>
      <c r="AB155" s="495"/>
      <c r="AC155" s="498"/>
      <c r="AD155" s="498"/>
      <c r="AE155" s="539"/>
    </row>
    <row r="156" spans="13:31" x14ac:dyDescent="0.25">
      <c r="M156" s="5"/>
      <c r="N156" s="9"/>
      <c r="O156" s="261" t="s">
        <v>116</v>
      </c>
      <c r="P156" s="147" t="e">
        <f>Q134+Q138+Q142+Q146</f>
        <v>#REF!</v>
      </c>
      <c r="Q156" s="602" t="s">
        <v>117</v>
      </c>
      <c r="R156" s="602"/>
      <c r="S156" s="139" t="e">
        <f>R134+R138+R142+R146</f>
        <v>#REF!</v>
      </c>
      <c r="U156" s="128"/>
      <c r="V156" s="128"/>
      <c r="W156" s="123"/>
      <c r="X156" s="123"/>
      <c r="Y156" s="123"/>
      <c r="Z156" s="123"/>
      <c r="AA156" s="123"/>
      <c r="AB156" s="495"/>
      <c r="AC156" s="495" t="e">
        <f xml:space="preserve">          IF(#REF!&lt;3,      0,#REF!)</f>
        <v>#REF!</v>
      </c>
      <c r="AD156" s="495"/>
      <c r="AE156" s="497" t="e">
        <f>Z154</f>
        <v>#REF!</v>
      </c>
    </row>
    <row r="157" spans="13:31" x14ac:dyDescent="0.25">
      <c r="M157" s="5"/>
      <c r="N157" s="9"/>
      <c r="O157" s="147"/>
      <c r="P157" s="147"/>
      <c r="Q157" s="147"/>
      <c r="R157" s="147"/>
      <c r="S157" s="272"/>
      <c r="U157" s="522" t="s">
        <v>233</v>
      </c>
      <c r="V157" s="522"/>
      <c r="W157" s="268" t="e">
        <f>S150</f>
        <v>#REF!</v>
      </c>
      <c r="X157" s="123"/>
      <c r="Y157" s="123"/>
      <c r="Z157" s="123"/>
      <c r="AA157" s="123"/>
      <c r="AB157" s="495"/>
      <c r="AC157" s="495"/>
      <c r="AD157" s="495"/>
      <c r="AE157" s="497"/>
    </row>
    <row r="158" spans="13:31" x14ac:dyDescent="0.25">
      <c r="M158" s="5"/>
      <c r="N158" s="9"/>
      <c r="O158" s="132"/>
      <c r="P158" s="137" t="s">
        <v>129</v>
      </c>
      <c r="Q158" s="137"/>
      <c r="R158" s="137"/>
      <c r="S158" s="263" t="e">
        <f>P134+P138+P142+P146</f>
        <v>#REF!</v>
      </c>
      <c r="U158" s="522" t="s">
        <v>234</v>
      </c>
      <c r="V158" s="522"/>
      <c r="W158" s="268" t="e">
        <f>Z154</f>
        <v>#REF!</v>
      </c>
      <c r="X158" s="123"/>
      <c r="Y158" s="123"/>
      <c r="Z158" s="123"/>
      <c r="AA158" s="123"/>
      <c r="AB158" s="127"/>
      <c r="AC158" s="128"/>
      <c r="AD158" s="128"/>
      <c r="AE158" s="123"/>
    </row>
    <row r="159" spans="13:31" x14ac:dyDescent="0.25">
      <c r="M159" s="7"/>
      <c r="N159" s="9"/>
      <c r="O159" s="9"/>
      <c r="W159" s="12"/>
      <c r="X159" s="12"/>
      <c r="Y159" s="12"/>
      <c r="Z159" s="12"/>
      <c r="AA159" s="12"/>
      <c r="AB159" s="7"/>
      <c r="AC159" s="108"/>
      <c r="AD159" s="108"/>
      <c r="AE159" s="12"/>
    </row>
    <row r="160" spans="13:31" ht="15.75" x14ac:dyDescent="0.25">
      <c r="M160" s="7"/>
      <c r="N160" s="9"/>
      <c r="O160" s="526" t="s">
        <v>132</v>
      </c>
      <c r="P160" s="526"/>
      <c r="Q160" s="526"/>
      <c r="R160" s="150" t="e">
        <f>(F93*1728)/D92</f>
        <v>#REF!</v>
      </c>
      <c r="W160" s="12"/>
      <c r="X160" s="12"/>
      <c r="Y160" s="12"/>
      <c r="Z160" s="12"/>
      <c r="AA160" s="12"/>
      <c r="AB160" s="7"/>
      <c r="AC160" s="9"/>
      <c r="AD160" s="9"/>
      <c r="AE160" s="9"/>
    </row>
    <row r="161" spans="1:31" x14ac:dyDescent="0.25">
      <c r="O161" s="525" t="s">
        <v>140</v>
      </c>
      <c r="P161" s="525"/>
      <c r="Q161" s="525"/>
      <c r="R161" s="266" t="e">
        <f>(F93*1728)/D91</f>
        <v>#REF!</v>
      </c>
      <c r="U161" s="12"/>
      <c r="V161" s="12"/>
      <c r="W161" s="12"/>
      <c r="X161" s="12"/>
      <c r="Y161" s="12"/>
      <c r="Z161" s="12"/>
      <c r="AA161" s="12"/>
      <c r="AB161" s="7"/>
      <c r="AC161" s="9"/>
      <c r="AD161" s="9"/>
      <c r="AE161" s="9"/>
    </row>
    <row r="162" spans="1:31" x14ac:dyDescent="0.25">
      <c r="O162" s="526" t="s">
        <v>148</v>
      </c>
      <c r="P162" s="526"/>
      <c r="Q162" s="526"/>
      <c r="R162" s="272" t="e">
        <f>(G93*1728)/E92</f>
        <v>#REF!</v>
      </c>
      <c r="U162" s="12"/>
      <c r="V162" s="12"/>
      <c r="W162" s="12"/>
      <c r="X162" s="12"/>
      <c r="Y162" s="12"/>
      <c r="Z162" s="12"/>
      <c r="AA162" s="12"/>
      <c r="AB162" s="7"/>
    </row>
    <row r="163" spans="1:31" ht="23.25" x14ac:dyDescent="0.25">
      <c r="B163" s="2"/>
      <c r="C163" s="2"/>
      <c r="D163" s="2"/>
      <c r="E163" s="2"/>
      <c r="F163" s="2"/>
      <c r="O163" s="525" t="s">
        <v>153</v>
      </c>
      <c r="P163" s="525"/>
      <c r="Q163" s="525"/>
      <c r="R163" s="266" t="e">
        <f>(G93*1728)/E91</f>
        <v>#REF!</v>
      </c>
      <c r="U163" s="12"/>
      <c r="V163" s="12"/>
      <c r="W163" s="12"/>
      <c r="X163" s="12"/>
      <c r="Y163" s="12"/>
      <c r="Z163" s="12"/>
      <c r="AA163" s="12"/>
      <c r="AB163" s="7"/>
    </row>
    <row r="164" spans="1:31" ht="23.25" x14ac:dyDescent="0.25">
      <c r="A164" s="2"/>
      <c r="B164" s="2"/>
      <c r="C164" s="2"/>
      <c r="D164" s="2"/>
      <c r="E164" s="2"/>
      <c r="F164" s="2"/>
      <c r="G164" s="2"/>
      <c r="H164" s="2"/>
      <c r="I164" s="2"/>
      <c r="O164" s="276"/>
      <c r="P164" s="276"/>
      <c r="Q164" s="276"/>
      <c r="R164" s="141"/>
      <c r="S164" s="18"/>
      <c r="U164" s="9"/>
      <c r="V164" s="9"/>
      <c r="W164" s="9"/>
      <c r="X164" s="9"/>
      <c r="Y164" s="12"/>
      <c r="Z164" s="12"/>
      <c r="AA164" s="12"/>
      <c r="AB164" s="7"/>
    </row>
    <row r="165" spans="1:31" ht="23.25" x14ac:dyDescent="0.25">
      <c r="A165" s="2"/>
      <c r="B165" s="3"/>
      <c r="C165" s="3"/>
      <c r="D165" s="3"/>
      <c r="E165" s="3"/>
      <c r="F165" s="3"/>
      <c r="G165" s="2"/>
      <c r="H165" s="2"/>
      <c r="I165" s="2"/>
      <c r="J165" s="2"/>
      <c r="K165" s="2"/>
      <c r="L165" s="2"/>
      <c r="O165" s="525" t="s">
        <v>156</v>
      </c>
      <c r="P165" s="525"/>
      <c r="Q165" s="525"/>
      <c r="R165" s="266" t="e">
        <f>(K93*1728)/I92</f>
        <v>#REF!</v>
      </c>
      <c r="S165" s="18"/>
      <c r="U165" s="9"/>
      <c r="V165" s="9"/>
      <c r="W165" s="9"/>
      <c r="X165" s="9"/>
      <c r="Y165" s="12"/>
      <c r="Z165" s="12"/>
      <c r="AA165" s="12"/>
      <c r="AB165" s="7"/>
    </row>
    <row r="166" spans="1:31" ht="23.25" x14ac:dyDescent="0.25">
      <c r="A166" s="3"/>
      <c r="B166" s="4"/>
      <c r="C166" s="4"/>
      <c r="D166" s="4"/>
      <c r="E166" s="4"/>
      <c r="F166" s="5"/>
      <c r="G166" s="3"/>
      <c r="H166" s="3"/>
      <c r="I166" s="3"/>
      <c r="J166" s="2"/>
      <c r="K166" s="2"/>
      <c r="L166" s="2"/>
      <c r="O166" s="525" t="s">
        <v>158</v>
      </c>
      <c r="P166" s="525"/>
      <c r="Q166" s="525"/>
      <c r="R166" s="272" t="e">
        <f>(K93*1728)/I91</f>
        <v>#REF!</v>
      </c>
      <c r="S166" s="18"/>
    </row>
    <row r="167" spans="1:31" ht="15.75" x14ac:dyDescent="0.25">
      <c r="A167" s="4"/>
      <c r="B167" s="4"/>
      <c r="C167" s="4"/>
      <c r="D167" s="4"/>
      <c r="E167" s="4"/>
      <c r="F167" s="5"/>
      <c r="G167" s="5"/>
      <c r="H167" s="5"/>
      <c r="I167" s="5"/>
      <c r="J167" s="3"/>
      <c r="K167" s="3"/>
      <c r="L167" s="3"/>
      <c r="O167" s="525" t="s">
        <v>161</v>
      </c>
      <c r="P167" s="525"/>
      <c r="Q167" s="525"/>
      <c r="R167" s="266" t="e">
        <f>(L93*1728)/J92</f>
        <v>#REF!</v>
      </c>
      <c r="S167" s="18"/>
    </row>
    <row r="168" spans="1:31" x14ac:dyDescent="0.25">
      <c r="A168" s="4"/>
      <c r="B168" s="7"/>
      <c r="C168" s="19"/>
      <c r="D168" s="19"/>
      <c r="E168" s="7"/>
      <c r="F168" s="1"/>
      <c r="G168" s="5"/>
      <c r="H168" s="5"/>
      <c r="I168" s="5"/>
      <c r="J168" s="5"/>
      <c r="K168" s="5"/>
      <c r="L168" s="5"/>
      <c r="O168" s="525" t="s">
        <v>162</v>
      </c>
      <c r="P168" s="525"/>
      <c r="Q168" s="525"/>
      <c r="R168" s="272" t="e">
        <f>(L93*1728)/J91</f>
        <v>#REF!</v>
      </c>
      <c r="S168" s="18"/>
    </row>
    <row r="169" spans="1:31" x14ac:dyDescent="0.25">
      <c r="A169" s="7"/>
      <c r="B169" s="7"/>
      <c r="C169" s="19"/>
      <c r="D169" s="19"/>
      <c r="E169" s="7"/>
      <c r="F169" s="1"/>
      <c r="G169" s="16"/>
      <c r="H169" s="16"/>
      <c r="I169" s="16"/>
      <c r="J169" s="5"/>
      <c r="K169" s="5"/>
      <c r="L169" s="5"/>
      <c r="Q169" s="18"/>
      <c r="R169" s="112"/>
      <c r="S169" s="18"/>
    </row>
    <row r="170" spans="1:31" ht="15.75" x14ac:dyDescent="0.25">
      <c r="A170" s="7"/>
      <c r="B170" s="5"/>
      <c r="C170" s="5"/>
      <c r="D170" s="5"/>
      <c r="E170" s="5"/>
      <c r="F170" s="5"/>
      <c r="G170" s="16"/>
      <c r="H170" s="16"/>
      <c r="I170" s="16"/>
      <c r="J170" s="16"/>
      <c r="K170" s="16"/>
      <c r="L170" s="16"/>
      <c r="O170" s="262" t="str">
        <f>IF($H$15="Imperial",                 "Imperial (inches and ft)",               "Metric (mm and meters)")</f>
        <v>Metric (mm and meters)</v>
      </c>
      <c r="P170" s="513" t="e">
        <f>IF($H$23=1,               "by system width",             "by system length")</f>
        <v>#REF!</v>
      </c>
      <c r="Q170" s="513"/>
      <c r="R170" s="513"/>
      <c r="S170" s="513"/>
      <c r="T170" s="297"/>
      <c r="U170" s="512" t="s">
        <v>239</v>
      </c>
      <c r="V170" s="512"/>
      <c r="W170" s="512"/>
      <c r="X170" s="512"/>
      <c r="Y170" s="512"/>
      <c r="Z170" s="512"/>
      <c r="AA170" s="512"/>
      <c r="AB170" s="512"/>
      <c r="AC170" s="512"/>
      <c r="AD170" s="495"/>
      <c r="AE170" s="495"/>
    </row>
    <row r="171" spans="1:31" x14ac:dyDescent="0.25">
      <c r="A171" s="5"/>
      <c r="B171" s="5"/>
      <c r="C171" s="5"/>
      <c r="D171" s="5"/>
      <c r="E171" s="5"/>
      <c r="F171" s="5"/>
      <c r="G171" s="5"/>
      <c r="H171" s="5"/>
      <c r="I171" s="5"/>
      <c r="J171" s="16"/>
      <c r="K171" s="16"/>
      <c r="L171" s="16"/>
      <c r="O171" s="501" t="s">
        <v>42</v>
      </c>
      <c r="P171" s="508" t="s">
        <v>43</v>
      </c>
      <c r="Q171" s="501" t="s">
        <v>44</v>
      </c>
      <c r="R171" s="501" t="s">
        <v>45</v>
      </c>
      <c r="S171" s="501" t="s">
        <v>46</v>
      </c>
      <c r="T171" s="291"/>
      <c r="U171" s="512"/>
      <c r="V171" s="512"/>
      <c r="W171" s="512"/>
      <c r="X171" s="512"/>
      <c r="Y171" s="512"/>
      <c r="Z171" s="512"/>
      <c r="AA171" s="512"/>
      <c r="AB171" s="512"/>
      <c r="AC171" s="512"/>
      <c r="AD171" s="495"/>
      <c r="AE171" s="495"/>
    </row>
    <row r="172" spans="1:31" x14ac:dyDescent="0.25">
      <c r="A172" s="5"/>
      <c r="B172" s="7"/>
      <c r="C172" s="7"/>
      <c r="D172" s="7"/>
      <c r="E172" s="7"/>
      <c r="F172" s="7"/>
      <c r="G172" s="5"/>
      <c r="H172" s="5"/>
      <c r="I172" s="5"/>
      <c r="J172" s="5"/>
      <c r="K172" s="16"/>
      <c r="L172" s="16"/>
      <c r="O172" s="501"/>
      <c r="P172" s="508"/>
      <c r="Q172" s="501"/>
      <c r="R172" s="501"/>
      <c r="S172" s="501"/>
      <c r="T172" s="291"/>
      <c r="U172" s="519" t="s">
        <v>29</v>
      </c>
      <c r="V172" s="519"/>
      <c r="W172" s="519"/>
      <c r="X172" s="519"/>
      <c r="Y172" s="519"/>
      <c r="Z172" s="519"/>
      <c r="AA172" s="519"/>
      <c r="AB172" s="519"/>
      <c r="AC172" s="519"/>
      <c r="AD172" s="495"/>
      <c r="AE172" s="495"/>
    </row>
    <row r="173" spans="1:31" x14ac:dyDescent="0.25">
      <c r="A173" s="7"/>
      <c r="B173" s="7"/>
      <c r="C173" s="7"/>
      <c r="D173" s="7"/>
      <c r="E173" s="7"/>
      <c r="F173" s="7"/>
      <c r="G173" s="7"/>
      <c r="H173" s="7"/>
      <c r="I173" s="7"/>
      <c r="J173" s="5"/>
      <c r="K173" s="16"/>
      <c r="L173" s="16"/>
      <c r="O173" s="501"/>
      <c r="P173" s="508"/>
      <c r="Q173" s="501"/>
      <c r="R173" s="501"/>
      <c r="S173" s="501"/>
      <c r="T173" s="291"/>
      <c r="U173" s="519"/>
      <c r="V173" s="519"/>
      <c r="W173" s="519"/>
      <c r="X173" s="519"/>
      <c r="Y173" s="519"/>
      <c r="Z173" s="519"/>
      <c r="AA173" s="519"/>
      <c r="AB173" s="519"/>
      <c r="AC173" s="519"/>
      <c r="AD173" s="493" t="s">
        <v>34</v>
      </c>
      <c r="AE173" s="493" t="s">
        <v>35</v>
      </c>
    </row>
    <row r="174" spans="1:31" x14ac:dyDescent="0.25">
      <c r="A174" s="7"/>
      <c r="B174" s="5"/>
      <c r="C174" s="5"/>
      <c r="D174" s="5"/>
      <c r="E174" s="5"/>
      <c r="F174" s="5"/>
      <c r="G174" s="7"/>
      <c r="H174" s="7"/>
      <c r="I174" s="7"/>
      <c r="J174" s="7"/>
      <c r="K174" s="16"/>
      <c r="L174" s="16"/>
      <c r="O174" s="501"/>
      <c r="P174" s="138" t="e">
        <f>IF(#REF!&lt;4,     0,        IF(S190=1,         IF(S191=1,    1,    2),             IF(S191=1,    2,    4)))</f>
        <v>#REF!</v>
      </c>
      <c r="Q174" s="138" t="e">
        <f>IF(P174=0,     0,        IF(P174=1,          P174*(D45+D47),                  IF(P174=2,             IF(S191=1,         H45+H47,            K45+K47),             P174*D104)))</f>
        <v>#REF!</v>
      </c>
      <c r="R174" s="138" t="e">
        <f>IF(P174=0,     0,        IF(P174=1,          P174*D7,                  IF(P174=2,             IF(S191=1,         H7,            P174*C93),             P174*C93)))</f>
        <v>#REF!</v>
      </c>
      <c r="S174" s="138" t="e">
        <f>Q174+R174</f>
        <v>#REF!</v>
      </c>
      <c r="T174" s="108"/>
      <c r="U174" s="494" t="str">
        <f>IF($H$15="Imperial",       "Required Cubic Feet",       "Required Cubic Meters")</f>
        <v>Required Cubic Meters</v>
      </c>
      <c r="V174" s="494" t="str">
        <f>IF($H$15="Imperial",       "Required Cubic Inches",       "Required Cubic mm")</f>
        <v>Required Cubic mm</v>
      </c>
      <c r="W174" s="494" t="e">
        <f>IF(Z2=1,       "Constraint Dimension (Width)",       "Constraint Dimension (Length)")</f>
        <v>#REF!</v>
      </c>
      <c r="X174" s="494" t="e">
        <f>IF(Z2=1,       "(Constraint Width-2endR Width)/midR Width",       "(Constriant Length-2endC length)/midC length")</f>
        <v>#REF!</v>
      </c>
      <c r="Y174" s="494"/>
      <c r="Z174" s="494" t="e">
        <f>IF(Z2=1,       "RoundDown for Maximum Number of midR",       "RoundDown for Maximum Number of midCs per Row")</f>
        <v>#REF!</v>
      </c>
      <c r="AA174" s="494"/>
      <c r="AB174" s="494" t="e">
        <f>IF(Z2=1,       "Max suggested Number of Rows",      "Maximum Number of Chambers per Row")</f>
        <v>#REF!</v>
      </c>
      <c r="AC174" s="494"/>
      <c r="AD174" s="493"/>
      <c r="AE174" s="493"/>
    </row>
    <row r="175" spans="1:31" x14ac:dyDescent="0.25">
      <c r="A175" s="5"/>
      <c r="B175" s="5"/>
      <c r="C175" s="5"/>
      <c r="D175" s="5"/>
      <c r="E175" s="5"/>
      <c r="F175" s="5"/>
      <c r="G175" s="5"/>
      <c r="H175" s="5"/>
      <c r="I175" s="5"/>
      <c r="J175" s="7"/>
      <c r="K175" s="16"/>
      <c r="L175" s="16"/>
      <c r="O175" s="501" t="s">
        <v>51</v>
      </c>
      <c r="P175" s="508" t="s">
        <v>43</v>
      </c>
      <c r="Q175" s="501" t="s">
        <v>44</v>
      </c>
      <c r="R175" s="501" t="s">
        <v>45</v>
      </c>
      <c r="S175" s="501" t="s">
        <v>46</v>
      </c>
      <c r="U175" s="494"/>
      <c r="V175" s="494"/>
      <c r="W175" s="494"/>
      <c r="X175" s="494"/>
      <c r="Y175" s="494"/>
      <c r="Z175" s="494"/>
      <c r="AA175" s="494"/>
      <c r="AB175" s="494"/>
      <c r="AC175" s="494"/>
      <c r="AD175" s="499" t="e">
        <f>IF(Z2=1,    IF(#REF!="Imperial",    IF(AB176=1,    (D102+#REF!-(#REF!/2))/12,   ((2*D102)+((AB176-2)*E102))/12),      IF(AB176=1,     (D102+#REF!-(#REF!/2))/1000,      ((2*D102)+((AB176-2)*E102))/1000)),                            IF(#REF!="Imperial",          IF(Y183=1,     (D102+#REF!-(#REF!/2))/12,      ((2*D102)+((Y183-2)*E102))/12),             IF(Y183=1,        (D102+#REF!-(#REF!/2))/1000,      ((2*D102)+((Y183-2)*E102))/1000)))</f>
        <v>#REF!</v>
      </c>
      <c r="AE175" s="499" t="e">
        <f>IF(Z2=1,                 "N/A",                 IF(#REF!="Imperial",                  IF(AB176=1,                 (D5+#REF!+#REF!)/12,               ((2*D103)+((AB176-2)*I103))/12),                                                                                                                              IF(AB176=1,            (D5+#REF!+#REF!)/1000,               ((2*D103)+((AB176-2)*I103))/1000)))</f>
        <v>#REF!</v>
      </c>
    </row>
    <row r="176" spans="1:31" x14ac:dyDescent="0.25">
      <c r="A176" s="5"/>
      <c r="B176" s="7"/>
      <c r="C176" s="7"/>
      <c r="D176" s="7"/>
      <c r="E176" s="7"/>
      <c r="F176" s="7"/>
      <c r="G176" s="5"/>
      <c r="H176" s="5"/>
      <c r="I176" s="5"/>
      <c r="J176" s="5"/>
      <c r="K176" s="5"/>
      <c r="L176" s="5"/>
      <c r="O176" s="501"/>
      <c r="P176" s="508"/>
      <c r="Q176" s="501"/>
      <c r="R176" s="501"/>
      <c r="S176" s="501"/>
      <c r="U176" s="495">
        <f>IF($H$37=1,       0,                 IF($H$37=2,      0,           IF($H$37=3,    0,      $H$17/4)))</f>
        <v>0</v>
      </c>
      <c r="V176" s="502">
        <f>IF($H$15="Imperial",         U176*1728,        U176*1000000000)</f>
        <v>0</v>
      </c>
      <c r="W176" s="495" t="e">
        <f>IF(#REF!=4,#REF!,                0)</f>
        <v>#REF!</v>
      </c>
      <c r="X176" s="495" t="e">
        <f>IF($H$15="Imperial",                    IF(Z2=1,              ((W176*12)-(2*D102))/E102,                                    ((W176*12)-(2*D103))/I103),                                                                                                                                                                            IF(Z2=1,                                                                                                                     ((W176*1000)-(2*D102))/E102,                                ((W176*1000)-(2*D103))/I103))</f>
        <v>#REF!</v>
      </c>
      <c r="Y176" s="495"/>
      <c r="Z176" s="495" t="e">
        <f>IF(X176&lt;0,        0,         ROUNDDOWN(X176,0))</f>
        <v>#REF!</v>
      </c>
      <c r="AA176" s="495"/>
      <c r="AB176" s="495" t="e">
        <f>IF(U176&lt;=D49,     1,    IF(#REF!="Imperial",      IF(Z2=1,         IF(W176&lt;(((2*D102)/12)),         1,     Z176+2),             IF(W176&lt;(((2*D103)/12)),      1,    Z176+2)),                                                                                        IF(Z2=1,                                                                                                IF(W176&lt;(((2*D102)/1000)),     1,     Z176+2),             IF(W176&lt;(((2*D103)/1000)),       1,     Z176+2))))</f>
        <v>#REF!</v>
      </c>
      <c r="AC176" s="495"/>
      <c r="AD176" s="499"/>
      <c r="AE176" s="499"/>
    </row>
    <row r="177" spans="1:31" x14ac:dyDescent="0.25">
      <c r="A177" s="7"/>
      <c r="B177" s="7"/>
      <c r="C177" s="7"/>
      <c r="D177" s="7"/>
      <c r="E177" s="7"/>
      <c r="F177" s="7"/>
      <c r="G177" s="7"/>
      <c r="H177" s="7"/>
      <c r="I177" s="7"/>
      <c r="J177" s="5"/>
      <c r="K177" s="5"/>
      <c r="L177" s="5"/>
      <c r="O177" s="501"/>
      <c r="P177" s="508"/>
      <c r="Q177" s="501"/>
      <c r="R177" s="501"/>
      <c r="S177" s="501"/>
      <c r="U177" s="495"/>
      <c r="V177" s="502"/>
      <c r="W177" s="495"/>
      <c r="X177" s="495"/>
      <c r="Y177" s="495"/>
      <c r="Z177" s="495"/>
      <c r="AA177" s="495"/>
      <c r="AB177" s="495"/>
      <c r="AC177" s="495"/>
      <c r="AD177" s="159"/>
      <c r="AE177" s="159"/>
    </row>
    <row r="178" spans="1:31" x14ac:dyDescent="0.25">
      <c r="A178" s="7"/>
      <c r="B178" s="5"/>
      <c r="C178" s="5"/>
      <c r="D178" s="5"/>
      <c r="E178" s="5"/>
      <c r="F178" s="5"/>
      <c r="G178" s="7"/>
      <c r="H178" s="7"/>
      <c r="I178" s="7"/>
      <c r="J178" s="7"/>
      <c r="K178" s="6"/>
      <c r="L178" s="6"/>
      <c r="O178" s="501"/>
      <c r="P178" s="139" t="e">
        <f>IF(#REF!&lt;4,       0,         IF(X194=0,        0,         IF(S190=1,        X194,    2*X194)))</f>
        <v>#REF!</v>
      </c>
      <c r="Q178" s="266" t="e">
        <f>P178*I104</f>
        <v>#REF!</v>
      </c>
      <c r="R178" s="272" t="e">
        <f>P178*H104</f>
        <v>#REF!</v>
      </c>
      <c r="S178" s="138" t="e">
        <f>IF(P178=0,           0,                 IF(#REF!="Imperial",               IF(W197=1,                Q178+R178+(P178*((((#REF!-(#REF!/2))*D100*D103)/1728)*(#REF!/100))),                        Q178+R178),                                                           IF(W197=1,                                                                                                              Q178+R178+(P178*((((#REF!-(#REF!/2))*D100*D103)/1000000000)*(#REF!/100))),                   Q178+R178)))</f>
        <v>#REF!</v>
      </c>
      <c r="U178" s="493" t="s">
        <v>52</v>
      </c>
      <c r="V178" s="493"/>
      <c r="W178" s="493"/>
      <c r="X178" s="493"/>
      <c r="Y178" s="493"/>
      <c r="Z178" s="493"/>
      <c r="AA178" s="493"/>
      <c r="AB178" s="493"/>
      <c r="AC178" s="493"/>
      <c r="AD178" s="159"/>
      <c r="AE178" s="159"/>
    </row>
    <row r="179" spans="1:31" x14ac:dyDescent="0.25">
      <c r="A179" s="5"/>
      <c r="B179" s="5"/>
      <c r="C179" s="5"/>
      <c r="D179" s="5"/>
      <c r="E179" s="5"/>
      <c r="F179" s="5"/>
      <c r="G179" s="5"/>
      <c r="H179" s="5"/>
      <c r="I179" s="5"/>
      <c r="J179" s="7"/>
      <c r="K179" s="6"/>
      <c r="L179" s="6"/>
      <c r="O179" s="501" t="s">
        <v>61</v>
      </c>
      <c r="P179" s="508" t="s">
        <v>43</v>
      </c>
      <c r="Q179" s="501" t="s">
        <v>44</v>
      </c>
      <c r="R179" s="501" t="s">
        <v>45</v>
      </c>
      <c r="S179" s="501" t="s">
        <v>46</v>
      </c>
      <c r="U179" s="493"/>
      <c r="V179" s="493"/>
      <c r="W179" s="493"/>
      <c r="X179" s="493"/>
      <c r="Y179" s="493"/>
      <c r="Z179" s="493"/>
      <c r="AA179" s="493"/>
      <c r="AB179" s="493"/>
      <c r="AC179" s="493"/>
      <c r="AD179" s="159"/>
      <c r="AE179" s="159"/>
    </row>
    <row r="180" spans="1:31" x14ac:dyDescent="0.25">
      <c r="A180" s="5"/>
      <c r="B180" s="7"/>
      <c r="C180" s="7"/>
      <c r="D180" s="7"/>
      <c r="E180" s="7"/>
      <c r="F180" s="7"/>
      <c r="G180" s="5"/>
      <c r="H180" s="5"/>
      <c r="I180" s="5"/>
      <c r="J180" s="5"/>
      <c r="K180" s="6"/>
      <c r="L180" s="6"/>
      <c r="O180" s="501"/>
      <c r="P180" s="508"/>
      <c r="Q180" s="501"/>
      <c r="R180" s="501"/>
      <c r="S180" s="501"/>
      <c r="U180" s="494" t="e">
        <f>IF(Z2=1,    "",      "number of endCs per fullR*endRendCvolumes")</f>
        <v>#REF!</v>
      </c>
      <c r="V180" s="494" t="e">
        <f>IF(Z2=1,       "",      "Max number of midC per fullR*endRmidC Volume")</f>
        <v>#REF!</v>
      </c>
      <c r="W180" s="494"/>
      <c r="X180" s="494" t="e">
        <f>IF(Z2=1,     "",      "Number of End Rows")</f>
        <v>#REF!</v>
      </c>
      <c r="Y180" s="494" t="e">
        <f>IF(Z2=1,        "",     "min number of rows suggested")</f>
        <v>#REF!</v>
      </c>
      <c r="Z180" s="494"/>
      <c r="AA180" s="493" t="s">
        <v>56</v>
      </c>
      <c r="AB180" s="493"/>
      <c r="AC180" s="493"/>
      <c r="AD180" s="159"/>
      <c r="AE180" s="159"/>
    </row>
    <row r="181" spans="1:31" x14ac:dyDescent="0.25">
      <c r="A181" s="7"/>
      <c r="B181" s="7"/>
      <c r="C181" s="7"/>
      <c r="D181" s="7"/>
      <c r="E181" s="7"/>
      <c r="F181" s="7"/>
      <c r="G181" s="7"/>
      <c r="H181" s="7"/>
      <c r="I181" s="7"/>
      <c r="J181" s="5"/>
      <c r="K181" s="6"/>
      <c r="L181" s="6"/>
      <c r="O181" s="501"/>
      <c r="P181" s="508"/>
      <c r="Q181" s="501"/>
      <c r="R181" s="501"/>
      <c r="S181" s="501"/>
      <c r="U181" s="494"/>
      <c r="V181" s="494"/>
      <c r="W181" s="494"/>
      <c r="X181" s="494"/>
      <c r="Y181" s="494"/>
      <c r="Z181" s="494"/>
      <c r="AA181" s="493"/>
      <c r="AB181" s="493"/>
      <c r="AC181" s="493"/>
      <c r="AD181" s="159"/>
      <c r="AE181" s="159"/>
    </row>
    <row r="182" spans="1:31" x14ac:dyDescent="0.25">
      <c r="A182" s="7"/>
      <c r="B182" s="5"/>
      <c r="C182" s="5"/>
      <c r="D182" s="5"/>
      <c r="E182" s="5"/>
      <c r="F182" s="5"/>
      <c r="G182" s="7"/>
      <c r="H182" s="7"/>
      <c r="I182" s="7"/>
      <c r="J182" s="7"/>
      <c r="K182" s="6"/>
      <c r="L182" s="6"/>
      <c r="O182" s="501"/>
      <c r="P182" s="139" t="e">
        <f>IF(#REF!&lt;4,     0,            IF(X189=0,     0,             IF(W198=1,                  X189,          2*X189)))</f>
        <v>#REF!</v>
      </c>
      <c r="Q182" s="266" t="e">
        <f>IF(P182=0,       0,             IF(S191=1,         P182*(D45+D47),            P182*E104))</f>
        <v>#REF!</v>
      </c>
      <c r="R182" s="272" t="e">
        <f>IF(P182=0,     0,          IF(S191=1,          P182*D7,          P182*C104))</f>
        <v>#REF!</v>
      </c>
      <c r="S182" s="138" t="e">
        <f>Q182+R182</f>
        <v>#REF!</v>
      </c>
      <c r="U182" s="494"/>
      <c r="V182" s="494"/>
      <c r="W182" s="494"/>
      <c r="X182" s="494"/>
      <c r="Y182" s="494"/>
      <c r="Z182" s="494"/>
      <c r="AA182" s="493"/>
      <c r="AB182" s="493"/>
      <c r="AC182" s="493"/>
      <c r="AD182" s="159"/>
      <c r="AE182" s="159"/>
    </row>
    <row r="183" spans="1:31" x14ac:dyDescent="0.25">
      <c r="A183" s="5"/>
      <c r="B183" s="5"/>
      <c r="C183" s="5"/>
      <c r="D183" s="5"/>
      <c r="E183" s="5"/>
      <c r="F183" s="5"/>
      <c r="G183" s="5"/>
      <c r="H183" s="5"/>
      <c r="I183" s="5"/>
      <c r="J183" s="7"/>
      <c r="K183" s="6"/>
      <c r="L183" s="6"/>
      <c r="O183" s="501" t="s">
        <v>223</v>
      </c>
      <c r="P183" s="508" t="s">
        <v>43</v>
      </c>
      <c r="Q183" s="501" t="s">
        <v>44</v>
      </c>
      <c r="R183" s="501" t="s">
        <v>45</v>
      </c>
      <c r="S183" s="501" t="s">
        <v>46</v>
      </c>
      <c r="U183" s="495" t="e">
        <f>IF(Z2=1,         0,             IF(#REF!="Imperial",                     IF(AB176=1,            (D7+D45)+(((#REF!*D100*(D102))/1728)*(#REF!/100)),               2*F104),                                                                                                                                                                                                                                          IF(AB176=1,                                         (D7+D45)+(((#REF!*D100*(D102))/1000000000)*(#REF!/100)),            2*F104)))</f>
        <v>#REF!</v>
      </c>
      <c r="V183" s="495" t="e">
        <f>IF(Z2=1,     0,      IF(Z176=0,       0,      Z176*K104))</f>
        <v>#REF!</v>
      </c>
      <c r="W183" s="495"/>
      <c r="X183" s="495" t="e">
        <f>IF(Z2=1,          0,        IF(AB176=1,                  IF(U176&lt;=D49,     1,              2),                    IF(AB176=2,                  IF(U176&lt;=K49,         1,              2),                                                                                                                                 IF(#REF!="Imperial",          IF(U176&lt;=((2*(F104+(((D100*(#REF!-(#REF!/2))*(D102+#REF!))/1728)*(#REF!/100))+(Z176*(K104+(((I100*(#REF!-(#REF!/2))*I103)/1728)*(#REF!/100))))))),          1,             2),                                                                                                                               IF(U176&lt;=((2*(F104+(((D100*(#REF!-(#REF!/2))*(D102+#REF!))/1000000000)*(#REF!/100))+(Z176*(K104+(((I100*(#REF!-(#REF!/2))*I103)/1000000000)*(#REF!/100))))))),             1,             2)))))</f>
        <v>#REF!</v>
      </c>
      <c r="Y183" s="495" t="e">
        <f>IF(Z2=1,                0,            IF(U176&lt;=(2*(U183+V183)),                   X183,               IF(AB176=1,              (ROUNDUP((U176-(2*(U183+V183)))/(L55),0))+2,                                                                                       IF(AB176=2,                    (ROUNDUP((U176-(2*(U183+V183)))/(2*G104),0)+2),            (ROUNDUP((U176-(2*(U183+V183)))/((Z176*L104)+(2*G104)),0)+2)))))</f>
        <v>#REF!</v>
      </c>
      <c r="Z183" s="495"/>
      <c r="AA183" s="493"/>
      <c r="AB183" s="493"/>
      <c r="AC183" s="493"/>
      <c r="AD183" s="159"/>
      <c r="AE183" s="159"/>
    </row>
    <row r="184" spans="1:31" x14ac:dyDescent="0.25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O184" s="501"/>
      <c r="P184" s="508"/>
      <c r="Q184" s="501"/>
      <c r="R184" s="501"/>
      <c r="S184" s="501"/>
      <c r="U184" s="495"/>
      <c r="V184" s="495"/>
      <c r="W184" s="495"/>
      <c r="X184" s="495"/>
      <c r="Y184" s="495"/>
      <c r="Z184" s="495"/>
      <c r="AA184" s="493"/>
      <c r="AB184" s="493"/>
      <c r="AC184" s="493"/>
      <c r="AD184" s="159"/>
      <c r="AE184" s="159"/>
    </row>
    <row r="185" spans="1:31" x14ac:dyDescent="0.25">
      <c r="A185" s="5"/>
      <c r="B185" s="7"/>
      <c r="C185" s="7"/>
      <c r="D185" s="7"/>
      <c r="E185" s="7"/>
      <c r="F185" s="7"/>
      <c r="G185" s="5"/>
      <c r="H185" s="5"/>
      <c r="I185" s="5"/>
      <c r="J185" s="5"/>
      <c r="K185" s="5"/>
      <c r="L185" s="5"/>
      <c r="O185" s="501"/>
      <c r="P185" s="508"/>
      <c r="Q185" s="501"/>
      <c r="R185" s="501"/>
      <c r="S185" s="501"/>
      <c r="U185" s="495" t="s">
        <v>68</v>
      </c>
      <c r="V185" s="495"/>
      <c r="W185" s="495"/>
      <c r="X185" s="495"/>
      <c r="Y185" s="495"/>
      <c r="Z185" s="495"/>
      <c r="AA185" s="495"/>
      <c r="AB185" s="495"/>
      <c r="AC185" s="495"/>
      <c r="AD185" s="159"/>
      <c r="AE185" s="159"/>
    </row>
    <row r="186" spans="1:31" x14ac:dyDescent="0.25">
      <c r="A186" s="7"/>
      <c r="B186" s="7"/>
      <c r="C186" s="7"/>
      <c r="D186" s="7"/>
      <c r="E186" s="7"/>
      <c r="F186" s="7"/>
      <c r="G186" s="7"/>
      <c r="H186" s="7"/>
      <c r="I186" s="7"/>
      <c r="J186" s="5"/>
      <c r="K186" s="5"/>
      <c r="L186" s="5"/>
      <c r="O186" s="501"/>
      <c r="P186" s="140" t="e">
        <f>IF(#REF!&lt;4,       0,         IF(X189=0,         0,          IF(X194=0,          0,          X189*X194)))</f>
        <v>#REF!</v>
      </c>
      <c r="Q186" s="272" t="e">
        <f>P186*J104</f>
        <v>#REF!</v>
      </c>
      <c r="R186" s="272" t="e">
        <f>P186*H104</f>
        <v>#REF!</v>
      </c>
      <c r="S186" s="138" t="e">
        <f>Q186+R186</f>
        <v>#REF!</v>
      </c>
      <c r="U186" s="496" t="s">
        <v>72</v>
      </c>
      <c r="V186" s="496" t="s">
        <v>226</v>
      </c>
      <c r="W186" s="496" t="s">
        <v>73</v>
      </c>
      <c r="X186" s="498" t="s">
        <v>74</v>
      </c>
      <c r="Y186" s="498" t="s">
        <v>75</v>
      </c>
      <c r="Z186" s="498"/>
      <c r="AA186" s="498" t="s">
        <v>76</v>
      </c>
      <c r="AB186" s="495"/>
      <c r="AC186" s="496" t="s">
        <v>78</v>
      </c>
      <c r="AD186" s="496"/>
      <c r="AE186" s="496"/>
    </row>
    <row r="187" spans="1:31" ht="23.25" x14ac:dyDescent="0.25">
      <c r="A187" s="7"/>
      <c r="B187" s="2"/>
      <c r="C187" s="2"/>
      <c r="D187" s="2"/>
      <c r="E187" s="2"/>
      <c r="F187" s="2"/>
      <c r="G187" s="7"/>
      <c r="H187" s="7"/>
      <c r="I187" s="7"/>
      <c r="J187" s="7"/>
      <c r="K187" s="7"/>
      <c r="L187" s="7"/>
      <c r="O187" s="276" t="s">
        <v>80</v>
      </c>
      <c r="P187" s="289" t="e">
        <f>P174+P178+P182+P186</f>
        <v>#REF!</v>
      </c>
      <c r="Q187" s="289" t="e">
        <f>Q174+Q178+Q182+Q186</f>
        <v>#REF!</v>
      </c>
      <c r="R187" s="289" t="e">
        <f>R174+R178+R182+R186</f>
        <v>#REF!</v>
      </c>
      <c r="S187" s="289" t="e">
        <f>S174+S178+S182+S186</f>
        <v>#REF!</v>
      </c>
      <c r="U187" s="496"/>
      <c r="V187" s="496"/>
      <c r="W187" s="496"/>
      <c r="X187" s="498"/>
      <c r="Y187" s="498"/>
      <c r="Z187" s="498"/>
      <c r="AA187" s="498"/>
      <c r="AB187" s="495"/>
      <c r="AC187" s="496"/>
      <c r="AD187" s="496"/>
      <c r="AE187" s="496"/>
    </row>
    <row r="188" spans="1:31" ht="23.25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7"/>
      <c r="K188" s="7"/>
      <c r="L188" s="7"/>
      <c r="O188" s="107"/>
      <c r="P188" s="10"/>
      <c r="Q188" s="95"/>
      <c r="R188" s="95"/>
      <c r="S188" s="104"/>
      <c r="U188" s="496"/>
      <c r="V188" s="496"/>
      <c r="W188" s="496"/>
      <c r="X188" s="498"/>
      <c r="Y188" s="498"/>
      <c r="Z188" s="498"/>
      <c r="AA188" s="498"/>
      <c r="AB188" s="495"/>
      <c r="AC188" s="496" t="e">
        <f>IF(Z2=1,      "Maximum Number of Rows",                 "Minimum Number of Rows")</f>
        <v>#REF!</v>
      </c>
      <c r="AD188" s="496"/>
      <c r="AE188" s="498" t="e">
        <f>IF(Z2=1,             "N/A",                "Maximum Number of Chambers per Full Row")</f>
        <v>#REF!</v>
      </c>
    </row>
    <row r="189" spans="1:31" ht="23.25" x14ac:dyDescent="0.25">
      <c r="A189" s="2"/>
      <c r="B189" s="3"/>
      <c r="C189" s="3"/>
      <c r="D189" s="3"/>
      <c r="E189" s="3"/>
      <c r="F189" s="3"/>
      <c r="G189" s="2"/>
      <c r="H189" s="2"/>
      <c r="I189" s="2"/>
      <c r="J189" s="2"/>
      <c r="K189" s="2"/>
      <c r="L189" s="2"/>
      <c r="O189" s="503" t="e">
        <f>IF($H$23=1,"Max suggested number of rows","Min suggested number of rows")</f>
        <v>#REF!</v>
      </c>
      <c r="P189" s="503"/>
      <c r="Q189" s="503"/>
      <c r="R189" s="503"/>
      <c r="S189" s="272" t="e">
        <f>IF(#REF!&lt;4,    0,       IF(Z2=1,        AB176,           Y183))</f>
        <v>#REF!</v>
      </c>
      <c r="U189" s="495">
        <f>U176</f>
        <v>0</v>
      </c>
      <c r="V189" s="495" t="e">
        <f>S190</f>
        <v>#REF!</v>
      </c>
      <c r="W189" s="495" t="e">
        <f>IF(V189=1,       1,        2)</f>
        <v>#REF!</v>
      </c>
      <c r="X189" s="493" t="e">
        <f>IF(V189&lt;3,      0,        V189-2)</f>
        <v>#REF!</v>
      </c>
      <c r="Y189" s="493" t="e">
        <f>IF(V189=1,       IF(U189&lt;=D49,       D49,      K49/2),                     IF(V189=2,       IF(U189&lt;=H49,        H49,   2*F104),                  IF(U189&lt;=(H49+(X189*L55)),                          H49,         (2*F104))))</f>
        <v>#REF!</v>
      </c>
      <c r="Z189" s="493"/>
      <c r="AA189" s="493" t="e">
        <f>IF(X189=0,           0,         IF((U189-Y189)&lt;=(X189*L55),        X189*L55,  X189*G104))</f>
        <v>#REF!</v>
      </c>
      <c r="AB189" s="495"/>
      <c r="AC189" s="496"/>
      <c r="AD189" s="496"/>
      <c r="AE189" s="498"/>
    </row>
    <row r="190" spans="1:31" ht="23.25" x14ac:dyDescent="0.25">
      <c r="A190" s="3"/>
      <c r="B190" s="4"/>
      <c r="C190" s="4"/>
      <c r="D190" s="4"/>
      <c r="E190" s="5"/>
      <c r="F190" s="5"/>
      <c r="G190" s="3"/>
      <c r="H190" s="3"/>
      <c r="I190" s="3"/>
      <c r="J190" s="2"/>
      <c r="K190" s="2"/>
      <c r="L190" s="2"/>
      <c r="O190" s="154" t="s">
        <v>244</v>
      </c>
      <c r="P190" s="154"/>
      <c r="Q190" s="154"/>
      <c r="R190" s="154"/>
      <c r="S190" s="272" t="e">
        <f xml:space="preserve">          IF(#REF!&lt;4,        0,#REF!)</f>
        <v>#REF!</v>
      </c>
      <c r="U190" s="495"/>
      <c r="V190" s="495"/>
      <c r="W190" s="495"/>
      <c r="X190" s="493"/>
      <c r="Y190" s="493"/>
      <c r="Z190" s="493"/>
      <c r="AA190" s="493"/>
      <c r="AB190" s="495"/>
      <c r="AC190" s="495" t="e">
        <f>IF(Z2=1,            AB176,        Y183)</f>
        <v>#REF!</v>
      </c>
      <c r="AD190" s="495"/>
      <c r="AE190" s="497" t="e">
        <f>IF(Z2=1,         0,                             AB176)</f>
        <v>#REF!</v>
      </c>
    </row>
    <row r="191" spans="1:31" ht="15.75" x14ac:dyDescent="0.25">
      <c r="A191" s="4"/>
      <c r="B191" s="7"/>
      <c r="C191" s="19"/>
      <c r="D191" s="19"/>
      <c r="E191" s="7"/>
      <c r="F191" s="7"/>
      <c r="G191" s="5"/>
      <c r="H191" s="5"/>
      <c r="I191" s="5"/>
      <c r="J191" s="3"/>
      <c r="K191" s="3"/>
      <c r="L191" s="3"/>
      <c r="O191" s="154" t="e">
        <f>IF($H$23=1,"Min number of chambers per full Row","Max number of chambers per Row")</f>
        <v>#REF!</v>
      </c>
      <c r="P191" s="154"/>
      <c r="Q191" s="154"/>
      <c r="R191" s="154"/>
      <c r="S191" s="272" t="e">
        <f>IF(#REF!&lt;4,         0,          Z194)</f>
        <v>#REF!</v>
      </c>
      <c r="U191" s="493" t="s">
        <v>83</v>
      </c>
      <c r="V191" s="493"/>
      <c r="W191" s="498" t="s">
        <v>84</v>
      </c>
      <c r="X191" s="498" t="s">
        <v>85</v>
      </c>
      <c r="Y191" s="498"/>
      <c r="Z191" s="496" t="s">
        <v>86</v>
      </c>
      <c r="AA191" s="496"/>
      <c r="AB191" s="495"/>
      <c r="AC191" s="495"/>
      <c r="AD191" s="495"/>
      <c r="AE191" s="497"/>
    </row>
    <row r="192" spans="1:31" x14ac:dyDescent="0.25">
      <c r="A192" s="7"/>
      <c r="B192" s="7"/>
      <c r="C192" s="19"/>
      <c r="D192" s="19"/>
      <c r="E192" s="7"/>
      <c r="F192" s="7"/>
      <c r="G192" s="16"/>
      <c r="H192" s="16"/>
      <c r="I192" s="16"/>
      <c r="J192" s="5"/>
      <c r="K192" s="5"/>
      <c r="L192" s="5"/>
      <c r="O192" s="154" t="s">
        <v>105</v>
      </c>
      <c r="P192" s="154"/>
      <c r="Q192" s="154"/>
      <c r="R192" s="154"/>
      <c r="S192" s="272" t="e">
        <f>IF(#REF!&lt;4,0,"all")</f>
        <v>#REF!</v>
      </c>
      <c r="U192" s="493"/>
      <c r="V192" s="493"/>
      <c r="W192" s="498"/>
      <c r="X192" s="498"/>
      <c r="Y192" s="498"/>
      <c r="Z192" s="496"/>
      <c r="AA192" s="496"/>
      <c r="AB192" s="495"/>
      <c r="AC192" s="496" t="s">
        <v>94</v>
      </c>
      <c r="AD192" s="496"/>
      <c r="AE192" s="496"/>
    </row>
    <row r="193" spans="1:31" ht="15.75" x14ac:dyDescent="0.25">
      <c r="A193" s="7"/>
      <c r="B193" s="5"/>
      <c r="C193" s="5"/>
      <c r="D193" s="5"/>
      <c r="E193" s="5"/>
      <c r="F193" s="5"/>
      <c r="G193" s="16"/>
      <c r="H193" s="16"/>
      <c r="I193" s="16"/>
      <c r="J193" s="16"/>
      <c r="K193" s="16"/>
      <c r="L193" s="16"/>
      <c r="O193" s="155" t="s">
        <v>230</v>
      </c>
      <c r="P193" s="155"/>
      <c r="Q193" s="155"/>
      <c r="R193" s="155"/>
      <c r="S193" s="156" t="e">
        <f>S174+S178+S182+S186</f>
        <v>#REF!</v>
      </c>
      <c r="U193" s="493"/>
      <c r="V193" s="493"/>
      <c r="W193" s="498"/>
      <c r="X193" s="498"/>
      <c r="Y193" s="498"/>
      <c r="Z193" s="496"/>
      <c r="AA193" s="496"/>
      <c r="AB193" s="495"/>
      <c r="AC193" s="496"/>
      <c r="AD193" s="496"/>
      <c r="AE193" s="496"/>
    </row>
    <row r="194" spans="1:31" x14ac:dyDescent="0.25">
      <c r="A194" s="5"/>
      <c r="B194" s="5"/>
      <c r="C194" s="5"/>
      <c r="D194" s="5"/>
      <c r="E194" s="5"/>
      <c r="F194" s="5"/>
      <c r="G194" s="5"/>
      <c r="H194" s="5"/>
      <c r="I194" s="5"/>
      <c r="J194" s="16"/>
      <c r="K194" s="16"/>
      <c r="L194" s="16"/>
      <c r="O194" s="157" t="s">
        <v>113</v>
      </c>
      <c r="P194" s="157"/>
      <c r="Q194" s="157"/>
      <c r="R194" s="157"/>
      <c r="S194" s="139" t="e">
        <f>IF(#REF!&lt;4,      0,        IF(#REF!="Imperial",       IF(S191=1,           ((D5+#REF!+#REF!)/12),                    IF(S191=2,              (2*D103)/12,       ((((S191-2)*I103)+(2*D103))/12))),                                                                      IF(S191=1,                                                                                           ((D5+#REF!+#REF!)/1000),                   IF(S191=2,      ((2*D103)/1000),         ((((S191-2)*I103)+(2*D103))/1000)))))</f>
        <v>#REF!</v>
      </c>
      <c r="U194" s="493"/>
      <c r="V194" s="493"/>
      <c r="W194" s="495" t="e">
        <f>IF(V189=1,          IF(U189&lt;=D49,          1,         2),                  IF(V189=2,      IF(U189&lt;=H49,       1,     2),          IF(U189&lt;=(H49+(X189*L55)),        1,      2)))</f>
        <v>#REF!</v>
      </c>
      <c r="X194" s="495" t="e">
        <f>IF(U189&lt;=(2*(Y189+AA189)),     0,        IF(AND(V189=1,U189&lt;=K49),0,      IF(#REF!="Imperial",           IF(V189=1,               ROUNDUP((U189-(K49))/(K104+((((#REF!-(#REF!/2))*I100*I103)/1728)*(#REF!/100))),0),                                                                                                                                         IF(V189=2,             ROUNDUP((U189-(2*Y189))/(2*K104),0),            ROUNDUP((U189-(2*(Y189+AA189)))/((2*K104)+(X189*L104)),0))),                                                                                                                                                                                                           IF(V189=1,                        ROUNDUP((U189-(K49))/(K104+((((#REF!-(#REF!/2))*I100*I103)/1000000000)*(#REF!/100))),0),                                                                                                                                                             IF(V189=2,                        ROUNDUP((U189-(2*Y189))/(2*K104),0),          ROUNDUP((U189-(2*(Y189+AA189)))/((2*K104)+(X189*L104)),0))))))</f>
        <v>#REF!</v>
      </c>
      <c r="Y194" s="495"/>
      <c r="Z194" s="495" t="e">
        <f>W194+X194</f>
        <v>#REF!</v>
      </c>
      <c r="AA194" s="495"/>
      <c r="AB194" s="495"/>
      <c r="AC194" s="498" t="s">
        <v>101</v>
      </c>
      <c r="AD194" s="498"/>
      <c r="AE194" s="539" t="s">
        <v>102</v>
      </c>
    </row>
    <row r="195" spans="1:31" x14ac:dyDescent="0.25">
      <c r="A195" s="5"/>
      <c r="B195" s="7"/>
      <c r="C195" s="7"/>
      <c r="D195" s="7"/>
      <c r="E195" s="7"/>
      <c r="F195" s="7"/>
      <c r="G195" s="5"/>
      <c r="H195" s="5"/>
      <c r="I195" s="5"/>
      <c r="J195" s="5"/>
      <c r="K195" s="16"/>
      <c r="L195" s="16"/>
      <c r="O195" s="532" t="s">
        <v>114</v>
      </c>
      <c r="P195" s="532"/>
      <c r="Q195" s="532"/>
      <c r="R195" s="532"/>
      <c r="S195" s="138" t="e">
        <f>IF(#REF!&lt;4,           0,          IF(#REF!="Imperial",          IF(S190=1,       ((D102+#REF!-(#REF!/2))/12),              IF(S190=2,              (2*D102)/12,         ((((S190-2)*E102)+(2*D102))/12))),                                                               IF(S190=1,                                                                                            (D102+#REF!-(#REF!/2))/1000,               IF(S190=2,         ((2*D102)/1000),       ((((S190-2)*E102)+(2*D102))/1000)))))</f>
        <v>#REF!</v>
      </c>
      <c r="U195" s="493"/>
      <c r="V195" s="493"/>
      <c r="W195" s="495"/>
      <c r="X195" s="495"/>
      <c r="Y195" s="495"/>
      <c r="Z195" s="495"/>
      <c r="AA195" s="495"/>
      <c r="AB195" s="495"/>
      <c r="AC195" s="498"/>
      <c r="AD195" s="498"/>
      <c r="AE195" s="539"/>
    </row>
    <row r="196" spans="1:31" x14ac:dyDescent="0.25">
      <c r="A196" s="7"/>
      <c r="B196" s="7"/>
      <c r="C196" s="7"/>
      <c r="D196" s="7"/>
      <c r="E196" s="7"/>
      <c r="F196" s="7"/>
      <c r="G196" s="7"/>
      <c r="H196" s="7"/>
      <c r="I196" s="7"/>
      <c r="J196" s="5"/>
      <c r="K196" s="16"/>
      <c r="L196" s="16"/>
      <c r="O196" s="261" t="s">
        <v>116</v>
      </c>
      <c r="P196" s="147" t="e">
        <f>Q174+Q178+Q182+Q186</f>
        <v>#REF!</v>
      </c>
      <c r="Q196" s="602" t="s">
        <v>117</v>
      </c>
      <c r="R196" s="602"/>
      <c r="S196" s="139" t="e">
        <f>R174+R178+R182+R186</f>
        <v>#REF!</v>
      </c>
      <c r="U196" s="128"/>
      <c r="V196" s="128"/>
      <c r="W196" s="123"/>
      <c r="X196" s="123"/>
      <c r="Y196" s="123"/>
      <c r="Z196" s="123"/>
      <c r="AA196" s="123"/>
      <c r="AB196" s="495"/>
      <c r="AC196" s="495" t="e">
        <f xml:space="preserve">          IF(#REF!&lt;4,      0,#REF!)</f>
        <v>#REF!</v>
      </c>
      <c r="AD196" s="495"/>
      <c r="AE196" s="497" t="e">
        <f>Z194</f>
        <v>#REF!</v>
      </c>
    </row>
    <row r="197" spans="1:31" x14ac:dyDescent="0.25">
      <c r="A197" s="7"/>
      <c r="B197" s="5"/>
      <c r="C197" s="5"/>
      <c r="D197" s="5"/>
      <c r="E197" s="5"/>
      <c r="F197" s="5"/>
      <c r="G197" s="7"/>
      <c r="H197" s="7"/>
      <c r="I197" s="7"/>
      <c r="J197" s="7"/>
      <c r="K197" s="16"/>
      <c r="L197" s="16"/>
      <c r="O197" s="147"/>
      <c r="P197" s="147"/>
      <c r="Q197" s="147"/>
      <c r="R197" s="147"/>
      <c r="S197" s="272"/>
      <c r="U197" s="522" t="s">
        <v>233</v>
      </c>
      <c r="V197" s="522"/>
      <c r="W197" s="268" t="e">
        <f>S190</f>
        <v>#REF!</v>
      </c>
      <c r="X197" s="123"/>
      <c r="Y197" s="123"/>
      <c r="Z197" s="123"/>
      <c r="AA197" s="123"/>
      <c r="AB197" s="495"/>
      <c r="AC197" s="495"/>
      <c r="AD197" s="495"/>
      <c r="AE197" s="497"/>
    </row>
    <row r="198" spans="1:31" x14ac:dyDescent="0.25">
      <c r="A198" s="5"/>
      <c r="B198" s="5"/>
      <c r="C198" s="5"/>
      <c r="D198" s="5"/>
      <c r="E198" s="5"/>
      <c r="F198" s="5"/>
      <c r="G198" s="5"/>
      <c r="H198" s="5"/>
      <c r="I198" s="5"/>
      <c r="J198" s="7"/>
      <c r="K198" s="16"/>
      <c r="L198" s="16"/>
      <c r="O198" s="132"/>
      <c r="P198" s="137" t="s">
        <v>129</v>
      </c>
      <c r="Q198" s="137"/>
      <c r="R198" s="137"/>
      <c r="S198" s="263" t="e">
        <f>P174+P178+P182+P186</f>
        <v>#REF!</v>
      </c>
      <c r="U198" s="522" t="s">
        <v>234</v>
      </c>
      <c r="V198" s="522"/>
      <c r="W198" s="268" t="e">
        <f>Z194</f>
        <v>#REF!</v>
      </c>
      <c r="X198" s="123"/>
      <c r="Y198" s="123"/>
      <c r="Z198" s="123"/>
      <c r="AA198" s="123"/>
      <c r="AB198" s="127"/>
      <c r="AC198" s="128"/>
      <c r="AD198" s="128"/>
      <c r="AE198" s="123"/>
    </row>
    <row r="199" spans="1:31" x14ac:dyDescent="0.25">
      <c r="A199" s="5"/>
      <c r="B199" s="7"/>
      <c r="C199" s="7"/>
      <c r="D199" s="7"/>
      <c r="E199" s="7"/>
      <c r="F199" s="7"/>
      <c r="G199" s="5"/>
      <c r="H199" s="5"/>
      <c r="I199" s="5"/>
      <c r="J199" s="5"/>
      <c r="K199" s="5"/>
      <c r="L199" s="5"/>
      <c r="O199" s="9"/>
      <c r="W199" s="12"/>
      <c r="X199" s="12"/>
      <c r="Y199" s="12"/>
      <c r="Z199" s="12"/>
      <c r="AA199" s="12"/>
      <c r="AB199" s="7"/>
      <c r="AC199" s="108"/>
      <c r="AD199" s="108"/>
      <c r="AE199" s="12"/>
    </row>
    <row r="200" spans="1:31" x14ac:dyDescent="0.25">
      <c r="A200" s="7"/>
      <c r="B200" s="7"/>
      <c r="C200" s="7"/>
      <c r="D200" s="7"/>
      <c r="E200" s="7"/>
      <c r="F200" s="7"/>
      <c r="G200" s="7"/>
      <c r="H200" s="7"/>
      <c r="I200" s="7"/>
      <c r="J200" s="5"/>
      <c r="K200" s="5"/>
      <c r="L200" s="5"/>
      <c r="O200" s="601"/>
      <c r="P200" s="601"/>
      <c r="Q200" s="601"/>
      <c r="R200" s="109"/>
      <c r="W200" s="12"/>
      <c r="X200" s="12"/>
      <c r="Y200" s="12"/>
      <c r="Z200" s="12"/>
      <c r="AA200" s="12"/>
      <c r="AB200" s="7"/>
      <c r="AC200" s="9"/>
      <c r="AD200" s="9"/>
      <c r="AE200" s="9"/>
    </row>
    <row r="201" spans="1:31" x14ac:dyDescent="0.25">
      <c r="A201" s="7"/>
      <c r="B201" s="5"/>
      <c r="C201" s="5"/>
      <c r="D201" s="5"/>
      <c r="E201" s="5"/>
      <c r="F201" s="5"/>
      <c r="G201" s="7"/>
      <c r="H201" s="7"/>
      <c r="I201" s="7"/>
      <c r="J201" s="7"/>
      <c r="K201" s="6"/>
      <c r="L201" s="6"/>
      <c r="O201" s="600"/>
      <c r="P201" s="600"/>
      <c r="Q201" s="600"/>
      <c r="R201" s="290"/>
      <c r="U201" s="12"/>
      <c r="V201" s="12"/>
      <c r="W201" s="12"/>
      <c r="X201" s="12"/>
      <c r="Y201" s="12"/>
      <c r="Z201" s="12"/>
      <c r="AA201" s="12"/>
      <c r="AB201" s="7"/>
      <c r="AC201" s="9"/>
      <c r="AD201" s="9"/>
      <c r="AE201" s="9"/>
    </row>
    <row r="202" spans="1:31" x14ac:dyDescent="0.25">
      <c r="A202" s="5"/>
      <c r="B202" s="5"/>
      <c r="C202" s="5"/>
      <c r="D202" s="5"/>
      <c r="E202" s="5"/>
      <c r="F202" s="5"/>
      <c r="G202" s="5"/>
      <c r="H202" s="5"/>
      <c r="I202" s="5"/>
      <c r="J202" s="7"/>
      <c r="K202" s="6"/>
      <c r="L202" s="6"/>
      <c r="O202" s="601"/>
      <c r="P202" s="601"/>
      <c r="Q202" s="601"/>
      <c r="R202" s="95"/>
      <c r="U202" s="12"/>
      <c r="V202" s="12"/>
      <c r="W202" s="12"/>
      <c r="X202" s="12"/>
      <c r="Y202" s="12"/>
      <c r="Z202" s="12"/>
      <c r="AA202" s="12"/>
      <c r="AB202" s="7"/>
    </row>
    <row r="203" spans="1:31" x14ac:dyDescent="0.25">
      <c r="A203" s="5"/>
      <c r="B203" s="7"/>
      <c r="C203" s="7"/>
      <c r="D203" s="7"/>
      <c r="E203" s="7"/>
      <c r="F203" s="7"/>
      <c r="G203" s="5"/>
      <c r="H203" s="5"/>
      <c r="I203" s="5"/>
      <c r="J203" s="5"/>
      <c r="K203" s="6"/>
      <c r="L203" s="6"/>
      <c r="O203" s="600"/>
      <c r="P203" s="600"/>
      <c r="Q203" s="600"/>
      <c r="R203" s="290"/>
      <c r="U203" s="12"/>
      <c r="V203" s="12"/>
      <c r="W203" s="12"/>
      <c r="X203" s="12"/>
      <c r="Y203" s="12"/>
      <c r="Z203" s="12"/>
      <c r="AA203" s="12"/>
      <c r="AB203" s="7"/>
    </row>
    <row r="204" spans="1:31" x14ac:dyDescent="0.25">
      <c r="A204" s="7"/>
      <c r="B204" s="7"/>
      <c r="C204" s="7"/>
      <c r="D204" s="7"/>
      <c r="E204" s="7"/>
      <c r="F204" s="7"/>
      <c r="G204" s="7"/>
      <c r="H204" s="7"/>
      <c r="I204" s="7"/>
      <c r="J204" s="5"/>
      <c r="K204" s="6"/>
      <c r="L204" s="6"/>
      <c r="O204" s="269"/>
      <c r="P204" s="269"/>
      <c r="Q204" s="269"/>
      <c r="R204" s="16"/>
      <c r="S204" s="18"/>
      <c r="U204" s="9"/>
      <c r="V204" s="9"/>
      <c r="W204" s="9"/>
      <c r="X204" s="9"/>
      <c r="Y204" s="12"/>
      <c r="Z204" s="12"/>
      <c r="AA204" s="12"/>
      <c r="AB204" s="7"/>
    </row>
    <row r="205" spans="1:31" x14ac:dyDescent="0.25">
      <c r="A205" s="7"/>
      <c r="B205" s="5"/>
      <c r="C205" s="5"/>
      <c r="D205" s="5"/>
      <c r="E205" s="5"/>
      <c r="F205" s="5"/>
      <c r="G205" s="7"/>
      <c r="H205" s="7"/>
      <c r="I205" s="7"/>
      <c r="J205" s="7"/>
      <c r="K205" s="6"/>
      <c r="L205" s="6"/>
      <c r="O205" s="600"/>
      <c r="P205" s="600"/>
      <c r="Q205" s="600"/>
      <c r="R205" s="290"/>
      <c r="S205" s="18"/>
      <c r="U205" s="9"/>
      <c r="V205" s="9"/>
      <c r="W205" s="9"/>
      <c r="X205" s="9"/>
      <c r="Y205" s="12"/>
      <c r="Z205" s="12"/>
      <c r="AA205" s="12"/>
      <c r="AB205" s="7"/>
    </row>
    <row r="206" spans="1:31" x14ac:dyDescent="0.25">
      <c r="A206" s="5"/>
      <c r="B206" s="5"/>
      <c r="C206" s="5"/>
      <c r="D206" s="5"/>
      <c r="E206" s="5"/>
      <c r="F206" s="5"/>
      <c r="G206" s="5"/>
      <c r="H206" s="5"/>
      <c r="I206" s="5"/>
      <c r="J206" s="7"/>
      <c r="K206" s="6"/>
      <c r="L206" s="6"/>
      <c r="O206" s="600"/>
      <c r="P206" s="600"/>
      <c r="Q206" s="600"/>
      <c r="R206" s="95"/>
      <c r="S206" s="18"/>
    </row>
    <row r="207" spans="1:31" x14ac:dyDescent="0.25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O207" s="600"/>
      <c r="P207" s="600"/>
      <c r="Q207" s="600"/>
      <c r="R207" s="290"/>
      <c r="S207" s="18"/>
    </row>
    <row r="208" spans="1:31" x14ac:dyDescent="0.25">
      <c r="A208" s="5"/>
      <c r="B208" s="7"/>
      <c r="C208" s="7"/>
      <c r="D208" s="7"/>
      <c r="E208" s="7"/>
      <c r="F208" s="7"/>
      <c r="G208" s="5"/>
      <c r="H208" s="5"/>
      <c r="I208" s="5"/>
      <c r="J208" s="5"/>
      <c r="K208" s="5"/>
      <c r="L208" s="5"/>
      <c r="O208" s="600"/>
      <c r="P208" s="600"/>
      <c r="Q208" s="600"/>
      <c r="R208" s="95"/>
      <c r="S208" s="18"/>
    </row>
    <row r="209" spans="1:12" x14ac:dyDescent="0.25">
      <c r="A209" s="7"/>
      <c r="B209" s="7"/>
      <c r="C209" s="7"/>
      <c r="D209" s="7"/>
      <c r="E209" s="7"/>
      <c r="F209" s="7"/>
      <c r="G209" s="7"/>
      <c r="H209" s="7"/>
      <c r="I209" s="7"/>
      <c r="J209" s="5"/>
      <c r="K209" s="5"/>
      <c r="L209" s="5"/>
    </row>
    <row r="210" spans="1:12" x14ac:dyDescent="0.25">
      <c r="A210" s="7"/>
      <c r="G210" s="7"/>
      <c r="H210" s="7"/>
      <c r="I210" s="7"/>
      <c r="J210" s="7"/>
      <c r="K210" s="7"/>
      <c r="L210" s="7"/>
    </row>
    <row r="211" spans="1:12" x14ac:dyDescent="0.25">
      <c r="J211" s="7"/>
      <c r="K211" s="7"/>
      <c r="L211" s="7"/>
    </row>
  </sheetData>
  <mergeCells count="619">
    <mergeCell ref="O1:S1"/>
    <mergeCell ref="AB1:AC1"/>
    <mergeCell ref="O2:S2"/>
    <mergeCell ref="AB2:AC2"/>
    <mergeCell ref="O3:S3"/>
    <mergeCell ref="B4:D4"/>
    <mergeCell ref="E4:H4"/>
    <mergeCell ref="I4:K4"/>
    <mergeCell ref="O4:S4"/>
    <mergeCell ref="U4:AC5"/>
    <mergeCell ref="AD4:AE6"/>
    <mergeCell ref="A5:A8"/>
    <mergeCell ref="B5:C5"/>
    <mergeCell ref="E5:G5"/>
    <mergeCell ref="I5:J5"/>
    <mergeCell ref="O5:S5"/>
    <mergeCell ref="U6:AC7"/>
    <mergeCell ref="E7:G7"/>
    <mergeCell ref="I7:J7"/>
    <mergeCell ref="O7:S8"/>
    <mergeCell ref="AD7:AD9"/>
    <mergeCell ref="AE7:AE9"/>
    <mergeCell ref="U8:U11"/>
    <mergeCell ref="V8:V11"/>
    <mergeCell ref="W8:W11"/>
    <mergeCell ref="X8:Y11"/>
    <mergeCell ref="Z8:AA11"/>
    <mergeCell ref="AB8:AB11"/>
    <mergeCell ref="AC8:AC11"/>
    <mergeCell ref="AD10:AD11"/>
    <mergeCell ref="AE10:AE11"/>
    <mergeCell ref="E11:G11"/>
    <mergeCell ref="U12:U13"/>
    <mergeCell ref="V12:V13"/>
    <mergeCell ref="W12:W13"/>
    <mergeCell ref="X12:Y13"/>
    <mergeCell ref="Z12:AA13"/>
    <mergeCell ref="AB12:AB13"/>
    <mergeCell ref="AC12:AC13"/>
    <mergeCell ref="AD12:AE25"/>
    <mergeCell ref="O10:O13"/>
    <mergeCell ref="P10:P12"/>
    <mergeCell ref="Q10:Q12"/>
    <mergeCell ref="R10:R12"/>
    <mergeCell ref="S10:S12"/>
    <mergeCell ref="U14:AB15"/>
    <mergeCell ref="AC15:AC25"/>
    <mergeCell ref="U16:U19"/>
    <mergeCell ref="V16:W19"/>
    <mergeCell ref="X16:X19"/>
    <mergeCell ref="Y16:Z19"/>
    <mergeCell ref="AA16:AB21"/>
    <mergeCell ref="U20:U21"/>
    <mergeCell ref="U24:U27"/>
    <mergeCell ref="V24:V27"/>
    <mergeCell ref="W24:W27"/>
    <mergeCell ref="E13:G13"/>
    <mergeCell ref="I13:J13"/>
    <mergeCell ref="A14:K15"/>
    <mergeCell ref="O14:O17"/>
    <mergeCell ref="P14:P16"/>
    <mergeCell ref="Q14:Q16"/>
    <mergeCell ref="A17:A23"/>
    <mergeCell ref="B17:D18"/>
    <mergeCell ref="E17:H17"/>
    <mergeCell ref="I17:K17"/>
    <mergeCell ref="A9:A13"/>
    <mergeCell ref="B9:C9"/>
    <mergeCell ref="E9:G9"/>
    <mergeCell ref="P9:S9"/>
    <mergeCell ref="B13:C13"/>
    <mergeCell ref="R14:R16"/>
    <mergeCell ref="S14:S16"/>
    <mergeCell ref="B23:C23"/>
    <mergeCell ref="E23:G23"/>
    <mergeCell ref="I23:J23"/>
    <mergeCell ref="B19:C19"/>
    <mergeCell ref="V20:W21"/>
    <mergeCell ref="X20:X21"/>
    <mergeCell ref="Y20:Z21"/>
    <mergeCell ref="E21:G21"/>
    <mergeCell ref="O22:O25"/>
    <mergeCell ref="P22:P24"/>
    <mergeCell ref="Q22:Q24"/>
    <mergeCell ref="R22:R24"/>
    <mergeCell ref="S22:S24"/>
    <mergeCell ref="U22:AB23"/>
    <mergeCell ref="O18:O21"/>
    <mergeCell ref="P18:P20"/>
    <mergeCell ref="Q18:Q20"/>
    <mergeCell ref="R18:R20"/>
    <mergeCell ref="S18:S20"/>
    <mergeCell ref="E19:G19"/>
    <mergeCell ref="X24:X27"/>
    <mergeCell ref="Y24:Z27"/>
    <mergeCell ref="AA24:AA27"/>
    <mergeCell ref="AB24:AB47"/>
    <mergeCell ref="A25:K27"/>
    <mergeCell ref="A29:A35"/>
    <mergeCell ref="B29:D30"/>
    <mergeCell ref="E29:H29"/>
    <mergeCell ref="AC26:AE27"/>
    <mergeCell ref="U28:U29"/>
    <mergeCell ref="V28:V29"/>
    <mergeCell ref="W28:W29"/>
    <mergeCell ref="X28:X29"/>
    <mergeCell ref="Y28:Z29"/>
    <mergeCell ref="AA28:AA29"/>
    <mergeCell ref="AC28:AD31"/>
    <mergeCell ref="AE28:AE31"/>
    <mergeCell ref="I29:K29"/>
    <mergeCell ref="U30:V35"/>
    <mergeCell ref="W30:W33"/>
    <mergeCell ref="B35:C35"/>
    <mergeCell ref="E35:G35"/>
    <mergeCell ref="I35:J35"/>
    <mergeCell ref="O35:R35"/>
    <mergeCell ref="U36:U39"/>
    <mergeCell ref="V36:V39"/>
    <mergeCell ref="B31:C31"/>
    <mergeCell ref="W36:W39"/>
    <mergeCell ref="AE32:AE33"/>
    <mergeCell ref="E33:G33"/>
    <mergeCell ref="O33:R33"/>
    <mergeCell ref="W34:W35"/>
    <mergeCell ref="X34:Y35"/>
    <mergeCell ref="Z34:AA35"/>
    <mergeCell ref="AC34:AE35"/>
    <mergeCell ref="X30:Y33"/>
    <mergeCell ref="Z30:AA33"/>
    <mergeCell ref="E31:G31"/>
    <mergeCell ref="O31:R31"/>
    <mergeCell ref="AC32:AD33"/>
    <mergeCell ref="AC46:AD47"/>
    <mergeCell ref="AE46:AE47"/>
    <mergeCell ref="AC42:AD45"/>
    <mergeCell ref="AE42:AE45"/>
    <mergeCell ref="X36:X39"/>
    <mergeCell ref="Y36:AA41"/>
    <mergeCell ref="AC36:AD39"/>
    <mergeCell ref="AE36:AE39"/>
    <mergeCell ref="A37:K41"/>
    <mergeCell ref="O37:R37"/>
    <mergeCell ref="O39:R39"/>
    <mergeCell ref="U40:U41"/>
    <mergeCell ref="V40:V41"/>
    <mergeCell ref="W40:W41"/>
    <mergeCell ref="X40:X41"/>
    <mergeCell ref="AC40:AD41"/>
    <mergeCell ref="AE40:AE41"/>
    <mergeCell ref="O41:R41"/>
    <mergeCell ref="A43:A49"/>
    <mergeCell ref="B43:D44"/>
    <mergeCell ref="E43:H43"/>
    <mergeCell ref="I43:K43"/>
    <mergeCell ref="O43:R43"/>
    <mergeCell ref="B45:C45"/>
    <mergeCell ref="E45:G45"/>
    <mergeCell ref="O45:R45"/>
    <mergeCell ref="Y50:Z53"/>
    <mergeCell ref="U42:U45"/>
    <mergeCell ref="V42:V45"/>
    <mergeCell ref="W42:W45"/>
    <mergeCell ref="X42:Y45"/>
    <mergeCell ref="Z42:AA47"/>
    <mergeCell ref="B49:C49"/>
    <mergeCell ref="E49:G49"/>
    <mergeCell ref="I49:J49"/>
    <mergeCell ref="U46:U47"/>
    <mergeCell ref="V46:V47"/>
    <mergeCell ref="W46:W47"/>
    <mergeCell ref="X46:Y47"/>
    <mergeCell ref="D51:D53"/>
    <mergeCell ref="E51:E53"/>
    <mergeCell ref="U50:U53"/>
    <mergeCell ref="V50:V53"/>
    <mergeCell ref="W50:W53"/>
    <mergeCell ref="X50:X53"/>
    <mergeCell ref="Y54:Z55"/>
    <mergeCell ref="AA50:AA53"/>
    <mergeCell ref="E47:G47"/>
    <mergeCell ref="Q47:R47"/>
    <mergeCell ref="U48:AB49"/>
    <mergeCell ref="AA54:AA55"/>
    <mergeCell ref="A55:B55"/>
    <mergeCell ref="O55:Q55"/>
    <mergeCell ref="U56:U59"/>
    <mergeCell ref="V56:V59"/>
    <mergeCell ref="A57:B57"/>
    <mergeCell ref="C57:G57"/>
    <mergeCell ref="H57:L57"/>
    <mergeCell ref="O57:Q57"/>
    <mergeCell ref="U54:U55"/>
    <mergeCell ref="V54:V55"/>
    <mergeCell ref="W54:W55"/>
    <mergeCell ref="X54:X55"/>
    <mergeCell ref="U60:U61"/>
    <mergeCell ref="V60:V61"/>
    <mergeCell ref="O61:Q61"/>
    <mergeCell ref="O65:Q65"/>
    <mergeCell ref="O67:Q67"/>
    <mergeCell ref="A69:C69"/>
    <mergeCell ref="O69:Q69"/>
    <mergeCell ref="I58:I60"/>
    <mergeCell ref="J58:J60"/>
    <mergeCell ref="K58:K60"/>
    <mergeCell ref="L58:L60"/>
    <mergeCell ref="A59:A68"/>
    <mergeCell ref="O59:Q59"/>
    <mergeCell ref="C58:C60"/>
    <mergeCell ref="D58:D60"/>
    <mergeCell ref="E58:E60"/>
    <mergeCell ref="F58:F60"/>
    <mergeCell ref="G58:G60"/>
    <mergeCell ref="H58:H60"/>
    <mergeCell ref="I72:I74"/>
    <mergeCell ref="J72:J74"/>
    <mergeCell ref="K72:K74"/>
    <mergeCell ref="L72:L74"/>
    <mergeCell ref="A73:A82"/>
    <mergeCell ref="O75:O76"/>
    <mergeCell ref="O80:O82"/>
    <mergeCell ref="A71:B71"/>
    <mergeCell ref="C71:G71"/>
    <mergeCell ref="H71:L71"/>
    <mergeCell ref="O71:Q71"/>
    <mergeCell ref="C72:C74"/>
    <mergeCell ref="D72:D74"/>
    <mergeCell ref="E72:E74"/>
    <mergeCell ref="F72:F74"/>
    <mergeCell ref="G72:G74"/>
    <mergeCell ref="H72:H74"/>
    <mergeCell ref="P75:S76"/>
    <mergeCell ref="U75:AC76"/>
    <mergeCell ref="AD75:AE77"/>
    <mergeCell ref="O77:O79"/>
    <mergeCell ref="P77:P78"/>
    <mergeCell ref="Q77:Q78"/>
    <mergeCell ref="R77:R78"/>
    <mergeCell ref="S77:S78"/>
    <mergeCell ref="U77:AC78"/>
    <mergeCell ref="AD78:AD79"/>
    <mergeCell ref="AD80:AD81"/>
    <mergeCell ref="AE80:AE81"/>
    <mergeCell ref="U81:U82"/>
    <mergeCell ref="V81:V82"/>
    <mergeCell ref="W81:W82"/>
    <mergeCell ref="X81:Y82"/>
    <mergeCell ref="AE78:AE79"/>
    <mergeCell ref="U79:U80"/>
    <mergeCell ref="V79:V80"/>
    <mergeCell ref="W79:W80"/>
    <mergeCell ref="X79:Y80"/>
    <mergeCell ref="Z79:AA80"/>
    <mergeCell ref="AB79:AC80"/>
    <mergeCell ref="X85:X87"/>
    <mergeCell ref="Y85:Z87"/>
    <mergeCell ref="L86:L88"/>
    <mergeCell ref="O86:O88"/>
    <mergeCell ref="P86:P87"/>
    <mergeCell ref="Q86:Q87"/>
    <mergeCell ref="Z81:AA82"/>
    <mergeCell ref="AB81:AC82"/>
    <mergeCell ref="A83:C83"/>
    <mergeCell ref="O83:O85"/>
    <mergeCell ref="P83:P84"/>
    <mergeCell ref="Q83:Q84"/>
    <mergeCell ref="R83:R84"/>
    <mergeCell ref="S83:S84"/>
    <mergeCell ref="U83:AC84"/>
    <mergeCell ref="A85:B85"/>
    <mergeCell ref="P80:P81"/>
    <mergeCell ref="Q80:Q81"/>
    <mergeCell ref="R80:R81"/>
    <mergeCell ref="S80:S81"/>
    <mergeCell ref="R86:R87"/>
    <mergeCell ref="S86:S87"/>
    <mergeCell ref="A87:A93"/>
    <mergeCell ref="U88:U89"/>
    <mergeCell ref="V88:W89"/>
    <mergeCell ref="X88:X89"/>
    <mergeCell ref="K89:K90"/>
    <mergeCell ref="L89:L90"/>
    <mergeCell ref="U90:AC90"/>
    <mergeCell ref="U91:U93"/>
    <mergeCell ref="AA85:AC89"/>
    <mergeCell ref="C86:C88"/>
    <mergeCell ref="D86:D88"/>
    <mergeCell ref="E86:E88"/>
    <mergeCell ref="F86:F88"/>
    <mergeCell ref="G86:G88"/>
    <mergeCell ref="H86:H88"/>
    <mergeCell ref="I86:I88"/>
    <mergeCell ref="J86:J88"/>
    <mergeCell ref="K86:K88"/>
    <mergeCell ref="C85:G85"/>
    <mergeCell ref="H85:L85"/>
    <mergeCell ref="U85:U87"/>
    <mergeCell ref="V85:W87"/>
    <mergeCell ref="Y88:Z89"/>
    <mergeCell ref="AC91:AE92"/>
    <mergeCell ref="AC93:AD94"/>
    <mergeCell ref="AE93:AE94"/>
    <mergeCell ref="B89:B90"/>
    <mergeCell ref="C89:C90"/>
    <mergeCell ref="D89:D90"/>
    <mergeCell ref="E89:E90"/>
    <mergeCell ref="F89:F90"/>
    <mergeCell ref="G89:G90"/>
    <mergeCell ref="H89:H90"/>
    <mergeCell ref="I89:I90"/>
    <mergeCell ref="J89:J90"/>
    <mergeCell ref="W94:W96"/>
    <mergeCell ref="X94:X96"/>
    <mergeCell ref="Y94:Z96"/>
    <mergeCell ref="AA94:AA96"/>
    <mergeCell ref="V91:V93"/>
    <mergeCell ref="W91:W93"/>
    <mergeCell ref="X91:X93"/>
    <mergeCell ref="Y91:Z93"/>
    <mergeCell ref="AA91:AA93"/>
    <mergeCell ref="A105:C105"/>
    <mergeCell ref="A106:L106"/>
    <mergeCell ref="A107:B111"/>
    <mergeCell ref="C107:C109"/>
    <mergeCell ref="D107:D109"/>
    <mergeCell ref="E107:E109"/>
    <mergeCell ref="F107:F109"/>
    <mergeCell ref="G107:G109"/>
    <mergeCell ref="A94:C94"/>
    <mergeCell ref="J100:J101"/>
    <mergeCell ref="K100:K101"/>
    <mergeCell ref="A96:B96"/>
    <mergeCell ref="C96:G96"/>
    <mergeCell ref="H96:L96"/>
    <mergeCell ref="A98:A104"/>
    <mergeCell ref="B100:B101"/>
    <mergeCell ref="K97:K99"/>
    <mergeCell ref="L97:L99"/>
    <mergeCell ref="H100:H101"/>
    <mergeCell ref="I100:I101"/>
    <mergeCell ref="J107:L109"/>
    <mergeCell ref="K110:K111"/>
    <mergeCell ref="L110:L111"/>
    <mergeCell ref="C110:C111"/>
    <mergeCell ref="AC96:AD97"/>
    <mergeCell ref="AE96:AE97"/>
    <mergeCell ref="C97:C99"/>
    <mergeCell ref="D97:D99"/>
    <mergeCell ref="E97:E99"/>
    <mergeCell ref="F97:F99"/>
    <mergeCell ref="G97:G99"/>
    <mergeCell ref="L100:L101"/>
    <mergeCell ref="Q100:R100"/>
    <mergeCell ref="W100:W101"/>
    <mergeCell ref="X100:Y101"/>
    <mergeCell ref="Z100:AA101"/>
    <mergeCell ref="AC100:AD101"/>
    <mergeCell ref="O98:R98"/>
    <mergeCell ref="AC98:AE99"/>
    <mergeCell ref="O99:R99"/>
    <mergeCell ref="C100:C101"/>
    <mergeCell ref="D100:D101"/>
    <mergeCell ref="E100:E101"/>
    <mergeCell ref="F100:F101"/>
    <mergeCell ref="G100:G101"/>
    <mergeCell ref="H97:H99"/>
    <mergeCell ref="I97:I99"/>
    <mergeCell ref="J97:J99"/>
    <mergeCell ref="AE100:AE101"/>
    <mergeCell ref="P102:R102"/>
    <mergeCell ref="U102:U104"/>
    <mergeCell ref="V102:V104"/>
    <mergeCell ref="W102:W104"/>
    <mergeCell ref="X102:X104"/>
    <mergeCell ref="Y102:AA106"/>
    <mergeCell ref="AC102:AD103"/>
    <mergeCell ref="AE102:AE103"/>
    <mergeCell ref="O104:Q104"/>
    <mergeCell ref="AE104:AE105"/>
    <mergeCell ref="O105:Q105"/>
    <mergeCell ref="U105:U106"/>
    <mergeCell ref="V105:V106"/>
    <mergeCell ref="W105:W106"/>
    <mergeCell ref="X105:X106"/>
    <mergeCell ref="O106:Q106"/>
    <mergeCell ref="AB91:AB111"/>
    <mergeCell ref="W97:W99"/>
    <mergeCell ref="X97:Y99"/>
    <mergeCell ref="Z97:AA99"/>
    <mergeCell ref="U97:V101"/>
    <mergeCell ref="U94:U96"/>
    <mergeCell ref="V94:V96"/>
    <mergeCell ref="O107:Q107"/>
    <mergeCell ref="AC104:AD105"/>
    <mergeCell ref="U107:U109"/>
    <mergeCell ref="V107:V109"/>
    <mergeCell ref="W107:W109"/>
    <mergeCell ref="X107:X109"/>
    <mergeCell ref="AC108:AE111"/>
    <mergeCell ref="O109:Q109"/>
    <mergeCell ref="X110:X111"/>
    <mergeCell ref="AC106:AD107"/>
    <mergeCell ref="AE106:AE107"/>
    <mergeCell ref="O110:Q110"/>
    <mergeCell ref="U110:U111"/>
    <mergeCell ref="V110:V111"/>
    <mergeCell ref="W110:W111"/>
    <mergeCell ref="O111:Q111"/>
    <mergeCell ref="D110:D111"/>
    <mergeCell ref="E110:E111"/>
    <mergeCell ref="F110:F111"/>
    <mergeCell ref="G110:G111"/>
    <mergeCell ref="J110:J111"/>
    <mergeCell ref="AD130:AE132"/>
    <mergeCell ref="J115:L116"/>
    <mergeCell ref="AB115:AC115"/>
    <mergeCell ref="AB116:AC116"/>
    <mergeCell ref="AB117:AC117"/>
    <mergeCell ref="AB118:AC118"/>
    <mergeCell ref="AB119:AC119"/>
    <mergeCell ref="J112:J113"/>
    <mergeCell ref="K112:K113"/>
    <mergeCell ref="L112:L113"/>
    <mergeCell ref="O112:Q112"/>
    <mergeCell ref="U112:AB112"/>
    <mergeCell ref="AB114:AC114"/>
    <mergeCell ref="O131:O134"/>
    <mergeCell ref="P131:P133"/>
    <mergeCell ref="Q131:Q133"/>
    <mergeCell ref="R131:R133"/>
    <mergeCell ref="S131:S133"/>
    <mergeCell ref="W121:W122"/>
    <mergeCell ref="X121:X122"/>
    <mergeCell ref="Y121:Z122"/>
    <mergeCell ref="P130:S130"/>
    <mergeCell ref="U130:AC131"/>
    <mergeCell ref="AD135:AD136"/>
    <mergeCell ref="U136:U137"/>
    <mergeCell ref="V136:V137"/>
    <mergeCell ref="W136:W137"/>
    <mergeCell ref="X136:Y137"/>
    <mergeCell ref="AD133:AD134"/>
    <mergeCell ref="AE133:AE134"/>
    <mergeCell ref="U134:U135"/>
    <mergeCell ref="V134:V135"/>
    <mergeCell ref="W134:W135"/>
    <mergeCell ref="X134:Y135"/>
    <mergeCell ref="Z134:AA135"/>
    <mergeCell ref="AB134:AC135"/>
    <mergeCell ref="AE135:AE136"/>
    <mergeCell ref="Z136:AA137"/>
    <mergeCell ref="AB136:AC137"/>
    <mergeCell ref="U132:AC133"/>
    <mergeCell ref="U138:AC139"/>
    <mergeCell ref="O139:O142"/>
    <mergeCell ref="P139:P141"/>
    <mergeCell ref="Q139:Q141"/>
    <mergeCell ref="R139:R141"/>
    <mergeCell ref="S139:S141"/>
    <mergeCell ref="U140:U142"/>
    <mergeCell ref="V140:W142"/>
    <mergeCell ref="X140:X142"/>
    <mergeCell ref="O135:O138"/>
    <mergeCell ref="P135:P137"/>
    <mergeCell ref="Q135:Q137"/>
    <mergeCell ref="R135:R137"/>
    <mergeCell ref="S135:S137"/>
    <mergeCell ref="Y140:Z142"/>
    <mergeCell ref="AA140:AC144"/>
    <mergeCell ref="O143:O146"/>
    <mergeCell ref="P143:P145"/>
    <mergeCell ref="Q143:Q145"/>
    <mergeCell ref="R143:R145"/>
    <mergeCell ref="S143:S145"/>
    <mergeCell ref="U143:U144"/>
    <mergeCell ref="V143:W144"/>
    <mergeCell ref="X143:X144"/>
    <mergeCell ref="Y143:Z144"/>
    <mergeCell ref="U145:AC145"/>
    <mergeCell ref="U146:U148"/>
    <mergeCell ref="V146:V148"/>
    <mergeCell ref="W146:W148"/>
    <mergeCell ref="X146:X148"/>
    <mergeCell ref="Y146:Z148"/>
    <mergeCell ref="AA146:AA148"/>
    <mergeCell ref="AB146:AB157"/>
    <mergeCell ref="AC146:AE147"/>
    <mergeCell ref="AC148:AD149"/>
    <mergeCell ref="AE148:AE149"/>
    <mergeCell ref="O149:R149"/>
    <mergeCell ref="U149:U150"/>
    <mergeCell ref="V149:V150"/>
    <mergeCell ref="W149:W150"/>
    <mergeCell ref="X149:X150"/>
    <mergeCell ref="Y149:Z150"/>
    <mergeCell ref="AA149:AA150"/>
    <mergeCell ref="AC150:AD151"/>
    <mergeCell ref="AE150:AE151"/>
    <mergeCell ref="U151:V155"/>
    <mergeCell ref="W151:W153"/>
    <mergeCell ref="X151:Y153"/>
    <mergeCell ref="Z151:AA153"/>
    <mergeCell ref="AC152:AE153"/>
    <mergeCell ref="W154:W155"/>
    <mergeCell ref="X154:Y155"/>
    <mergeCell ref="Z154:AA155"/>
    <mergeCell ref="AC154:AD155"/>
    <mergeCell ref="U158:V158"/>
    <mergeCell ref="O160:Q160"/>
    <mergeCell ref="O161:Q161"/>
    <mergeCell ref="O162:Q162"/>
    <mergeCell ref="O163:Q163"/>
    <mergeCell ref="O165:Q165"/>
    <mergeCell ref="AE154:AE155"/>
    <mergeCell ref="O155:R155"/>
    <mergeCell ref="Q156:R156"/>
    <mergeCell ref="AC156:AD157"/>
    <mergeCell ref="AE156:AE157"/>
    <mergeCell ref="U157:V157"/>
    <mergeCell ref="O166:Q166"/>
    <mergeCell ref="O167:Q167"/>
    <mergeCell ref="O168:Q168"/>
    <mergeCell ref="P170:S170"/>
    <mergeCell ref="U170:AC171"/>
    <mergeCell ref="AD170:AE172"/>
    <mergeCell ref="O171:O174"/>
    <mergeCell ref="P171:P173"/>
    <mergeCell ref="Q171:Q173"/>
    <mergeCell ref="R171:R173"/>
    <mergeCell ref="S171:S173"/>
    <mergeCell ref="U172:AC173"/>
    <mergeCell ref="AD173:AD174"/>
    <mergeCell ref="AE173:AE174"/>
    <mergeCell ref="U174:U175"/>
    <mergeCell ref="V174:V175"/>
    <mergeCell ref="W174:W175"/>
    <mergeCell ref="X174:Y175"/>
    <mergeCell ref="Z174:AA175"/>
    <mergeCell ref="AB174:AC175"/>
    <mergeCell ref="AE175:AE176"/>
    <mergeCell ref="U176:U177"/>
    <mergeCell ref="V176:V177"/>
    <mergeCell ref="W176:W177"/>
    <mergeCell ref="X176:Y177"/>
    <mergeCell ref="Z176:AA177"/>
    <mergeCell ref="AB176:AC177"/>
    <mergeCell ref="O175:O178"/>
    <mergeCell ref="P175:P177"/>
    <mergeCell ref="Q175:Q177"/>
    <mergeCell ref="R175:R177"/>
    <mergeCell ref="S175:S177"/>
    <mergeCell ref="AD175:AD176"/>
    <mergeCell ref="U178:AC179"/>
    <mergeCell ref="O179:O182"/>
    <mergeCell ref="P179:P181"/>
    <mergeCell ref="Q179:Q181"/>
    <mergeCell ref="AA180:AC184"/>
    <mergeCell ref="O183:O186"/>
    <mergeCell ref="P183:P185"/>
    <mergeCell ref="Q183:Q185"/>
    <mergeCell ref="R183:R185"/>
    <mergeCell ref="S183:S185"/>
    <mergeCell ref="U183:U184"/>
    <mergeCell ref="V183:W184"/>
    <mergeCell ref="X183:X184"/>
    <mergeCell ref="Y183:Z184"/>
    <mergeCell ref="R179:R181"/>
    <mergeCell ref="S179:S181"/>
    <mergeCell ref="U180:U182"/>
    <mergeCell ref="V180:W182"/>
    <mergeCell ref="X180:X182"/>
    <mergeCell ref="Y180:Z182"/>
    <mergeCell ref="U185:AC185"/>
    <mergeCell ref="U186:U188"/>
    <mergeCell ref="V186:V188"/>
    <mergeCell ref="W186:W188"/>
    <mergeCell ref="X186:X188"/>
    <mergeCell ref="Y186:Z188"/>
    <mergeCell ref="AA186:AA188"/>
    <mergeCell ref="AB186:AB197"/>
    <mergeCell ref="AC186:AE187"/>
    <mergeCell ref="AC188:AD189"/>
    <mergeCell ref="AC194:AD195"/>
    <mergeCell ref="AE194:AE195"/>
    <mergeCell ref="AE188:AE189"/>
    <mergeCell ref="O189:R189"/>
    <mergeCell ref="U189:U190"/>
    <mergeCell ref="V189:V190"/>
    <mergeCell ref="W189:W190"/>
    <mergeCell ref="X189:X190"/>
    <mergeCell ref="Y189:Z190"/>
    <mergeCell ref="AA189:AA190"/>
    <mergeCell ref="AC190:AD191"/>
    <mergeCell ref="AE190:AE191"/>
    <mergeCell ref="O207:Q207"/>
    <mergeCell ref="O208:Q208"/>
    <mergeCell ref="AN3:AP3"/>
    <mergeCell ref="AN11:AP11"/>
    <mergeCell ref="O200:Q200"/>
    <mergeCell ref="O201:Q201"/>
    <mergeCell ref="O202:Q202"/>
    <mergeCell ref="O203:Q203"/>
    <mergeCell ref="O205:Q205"/>
    <mergeCell ref="O206:Q206"/>
    <mergeCell ref="O195:R195"/>
    <mergeCell ref="Q196:R196"/>
    <mergeCell ref="AC196:AD197"/>
    <mergeCell ref="AE196:AE197"/>
    <mergeCell ref="U197:V197"/>
    <mergeCell ref="U198:V198"/>
    <mergeCell ref="U191:V195"/>
    <mergeCell ref="W191:W193"/>
    <mergeCell ref="X191:Y193"/>
    <mergeCell ref="Z191:AA193"/>
    <mergeCell ref="AC192:AE193"/>
    <mergeCell ref="W194:W195"/>
    <mergeCell ref="X194:Y195"/>
    <mergeCell ref="Z194:AA19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B16"/>
  <sheetViews>
    <sheetView workbookViewId="0"/>
  </sheetViews>
  <sheetFormatPr defaultRowHeight="15" x14ac:dyDescent="0.25"/>
  <cols>
    <col min="1" max="1" width="13.28515625" customWidth="1"/>
    <col min="2" max="2" width="11" customWidth="1"/>
  </cols>
  <sheetData>
    <row r="1" spans="1:2" x14ac:dyDescent="0.25">
      <c r="A1" t="s">
        <v>54</v>
      </c>
    </row>
    <row r="2" spans="1:2" x14ac:dyDescent="0.25">
      <c r="A2" t="s">
        <v>228</v>
      </c>
    </row>
    <row r="4" spans="1:2" x14ac:dyDescent="0.25">
      <c r="A4" t="s">
        <v>231</v>
      </c>
      <c r="B4" t="s">
        <v>231</v>
      </c>
    </row>
    <row r="5" spans="1:2" x14ac:dyDescent="0.25">
      <c r="A5" t="s">
        <v>229</v>
      </c>
    </row>
    <row r="6" spans="1:2" x14ac:dyDescent="0.25">
      <c r="A6" t="s">
        <v>63</v>
      </c>
    </row>
    <row r="9" spans="1:2" x14ac:dyDescent="0.25">
      <c r="A9" t="s">
        <v>136</v>
      </c>
    </row>
    <row r="10" spans="1:2" x14ac:dyDescent="0.25">
      <c r="A10" t="s">
        <v>126</v>
      </c>
    </row>
    <row r="12" spans="1:2" x14ac:dyDescent="0.25">
      <c r="A12" t="s">
        <v>136</v>
      </c>
    </row>
    <row r="13" spans="1:2" x14ac:dyDescent="0.25">
      <c r="A13" t="s">
        <v>126</v>
      </c>
    </row>
    <row r="15" spans="1:2" x14ac:dyDescent="0.25">
      <c r="A15" t="s">
        <v>70</v>
      </c>
    </row>
    <row r="16" spans="1:2" x14ac:dyDescent="0.25">
      <c r="A16" t="s">
        <v>187</v>
      </c>
    </row>
  </sheetData>
  <customSheetViews>
    <customSheetView guid="{E7B63CCF-7FBC-401C-9C4B-EF755A7DC399}">
      <selection activeCell="B8" sqref="B8"/>
      <pageMargins left="0" right="0" top="0" bottom="0" header="0" footer="0"/>
    </customSheetView>
  </customSheetView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BB1DED5C10FE4479EAB726C82513EA2" ma:contentTypeVersion="14" ma:contentTypeDescription="Create a new document." ma:contentTypeScope="" ma:versionID="ad5affeca8ccfb95555972a4e3ddeb91">
  <xsd:schema xmlns:xsd="http://www.w3.org/2001/XMLSchema" xmlns:xs="http://www.w3.org/2001/XMLSchema" xmlns:p="http://schemas.microsoft.com/office/2006/metadata/properties" xmlns:ns2="b7157ec9-000a-4dfd-a473-e8e0cb32c23f" xmlns:ns3="5d1614ab-2ef8-4ea5-850e-0625268f5227" targetNamespace="http://schemas.microsoft.com/office/2006/metadata/properties" ma:root="true" ma:fieldsID="69674bee1e96fc85556ba0b841a0edf2" ns2:_="" ns3:_="">
    <xsd:import namespace="b7157ec9-000a-4dfd-a473-e8e0cb32c23f"/>
    <xsd:import namespace="5d1614ab-2ef8-4ea5-850e-0625268f522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157ec9-000a-4dfd-a473-e8e0cb32c23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d071f764-8388-4350-b52b-54c65992e0b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1614ab-2ef8-4ea5-850e-0625268f522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ef5b757b-6a14-44ee-8a10-4bcfd58de3a5}" ma:internalName="TaxCatchAll" ma:showField="CatchAllData" ma:web="5d1614ab-2ef8-4ea5-850e-0625268f522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7157ec9-000a-4dfd-a473-e8e0cb32c23f">
      <Terms xmlns="http://schemas.microsoft.com/office/infopath/2007/PartnerControls"/>
    </lcf76f155ced4ddcb4097134ff3c332f>
    <TaxCatchAll xmlns="5d1614ab-2ef8-4ea5-850e-0625268f5227" xsi:nil="true"/>
  </documentManagement>
</p:properties>
</file>

<file path=customXml/itemProps1.xml><?xml version="1.0" encoding="utf-8"?>
<ds:datastoreItem xmlns:ds="http://schemas.openxmlformats.org/officeDocument/2006/customXml" ds:itemID="{7DC2D2A3-8497-41C3-9C61-9166E8DF153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878DAE6-8331-4320-B0FB-F2E7DBAA896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7157ec9-000a-4dfd-a473-e8e0cb32c23f"/>
    <ds:schemaRef ds:uri="5d1614ab-2ef8-4ea5-850e-0625268f522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73F69B1-E367-4542-AF92-42D4507C5414}">
  <ds:schemaRefs>
    <ds:schemaRef ds:uri="http://schemas.microsoft.com/office/2006/metadata/properties"/>
    <ds:schemaRef ds:uri="http://schemas.microsoft.com/office/infopath/2007/PartnerControls"/>
    <ds:schemaRef ds:uri="b7157ec9-000a-4dfd-a473-e8e0cb32c23f"/>
    <ds:schemaRef ds:uri="5d1614ab-2ef8-4ea5-850e-0625268f5227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9</vt:i4>
      </vt:variant>
    </vt:vector>
  </HeadingPairs>
  <TitlesOfParts>
    <vt:vector size="12" baseType="lpstr">
      <vt:lpstr>StormChamber System Calculator</vt:lpstr>
      <vt:lpstr>Sheet1</vt:lpstr>
      <vt:lpstr>Hidden list</vt:lpstr>
      <vt:lpstr>AllChambers</vt:lpstr>
      <vt:lpstr>AllSC</vt:lpstr>
      <vt:lpstr>Chambers</vt:lpstr>
      <vt:lpstr>Constraint</vt:lpstr>
      <vt:lpstr>NY</vt:lpstr>
      <vt:lpstr>'StormChamber System Calculator'!Print_Area</vt:lpstr>
      <vt:lpstr>SCalt</vt:lpstr>
      <vt:lpstr>UnitSystem</vt:lpstr>
      <vt:lpstr>YN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Maria Lehner</dc:creator>
  <cp:keywords/>
  <dc:description/>
  <cp:lastModifiedBy>Grossman, Richard</cp:lastModifiedBy>
  <cp:revision/>
  <dcterms:created xsi:type="dcterms:W3CDTF">2016-09-01T19:17:15Z</dcterms:created>
  <dcterms:modified xsi:type="dcterms:W3CDTF">2024-10-25T14:52:58Z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0x0101006BB1DED5C10FE4479EAB726C82513EA2</vt:lpwstr>
  </property>
  <property fmtid="{D5CDD505-2E9C-101B-9397-08002B2CF9AE}" pid="3" name="MediaServiceImageTags">
    <vt:lpwstr/>
  </property>
</Properties>
</file>